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311" yWindow="1350" windowWidth="12120" windowHeight="7170" tabRatio="596" activeTab="0"/>
  </bookViews>
  <sheets>
    <sheet name="costo del pedido" sheetId="1" r:id="rId1"/>
  </sheets>
  <definedNames/>
  <calcPr fullCalcOnLoad="1"/>
</workbook>
</file>

<file path=xl/sharedStrings.xml><?xml version="1.0" encoding="utf-8"?>
<sst xmlns="http://schemas.openxmlformats.org/spreadsheetml/2006/main" count="224" uniqueCount="158">
  <si>
    <t>TOTALES POR TAMAÑOS</t>
  </si>
  <si>
    <t>PRECIOS TOTALES</t>
  </si>
  <si>
    <t>OFERTAS GRILLOS</t>
  </si>
  <si>
    <t>200ch</t>
  </si>
  <si>
    <t>gr</t>
  </si>
  <si>
    <t>med</t>
  </si>
  <si>
    <t>OFERTA 1</t>
  </si>
  <si>
    <t>OFERTA 2</t>
  </si>
  <si>
    <t>OFERTA 3</t>
  </si>
  <si>
    <t>OFERTA 4</t>
  </si>
  <si>
    <t>OFERTA 6</t>
  </si>
  <si>
    <t>OFERTA 7</t>
  </si>
  <si>
    <t>barrio</t>
  </si>
  <si>
    <t>intervalo horario (mínimo 3 horas, desde/hasta)§</t>
  </si>
  <si>
    <t>nombre y apellido de la persona que recibe:</t>
  </si>
  <si>
    <t>cambio (paga con…..$)</t>
  </si>
  <si>
    <t>precios unitarios por tamaños</t>
  </si>
  <si>
    <t>grillo grande</t>
  </si>
  <si>
    <t>grillo mediano</t>
  </si>
  <si>
    <t>grillo chico</t>
  </si>
  <si>
    <t>µ</t>
  </si>
  <si>
    <t>grillos grandes</t>
  </si>
  <si>
    <t>grillos medianos</t>
  </si>
  <si>
    <t>micro grillos</t>
  </si>
  <si>
    <t>RELLENAR LOS ESPACIOS AMARILLOS.</t>
  </si>
  <si>
    <t>ZOPHOBAS</t>
  </si>
  <si>
    <t>Z</t>
  </si>
  <si>
    <t>Precio TOTAL</t>
  </si>
  <si>
    <t>precio unitario:</t>
  </si>
  <si>
    <t>TENEBRIOS</t>
  </si>
  <si>
    <t>T</t>
  </si>
  <si>
    <t>precio</t>
  </si>
  <si>
    <t>OFERTA 0</t>
  </si>
  <si>
    <t>grillos XL</t>
  </si>
  <si>
    <t>grillo XL</t>
  </si>
  <si>
    <t>XL</t>
  </si>
  <si>
    <t>OFERTA 8</t>
  </si>
  <si>
    <t>COSTOS PARCIALES</t>
  </si>
  <si>
    <t>PRECIOS UNITARIOS</t>
  </si>
  <si>
    <t>costo total</t>
  </si>
  <si>
    <t>runner</t>
  </si>
  <si>
    <t>RU</t>
  </si>
  <si>
    <t>mínimo (mayorista)</t>
  </si>
  <si>
    <r>
      <t xml:space="preserve">para realizar un pedido rellenar en el espacio amarillo y enviar a </t>
    </r>
    <r>
      <rPr>
        <b/>
        <u val="single"/>
        <sz val="14"/>
        <color indexed="12"/>
        <rFont val="Arial"/>
        <family val="2"/>
      </rPr>
      <t xml:space="preserve">grilloscapos@gmail.com </t>
    </r>
  </si>
  <si>
    <t>máximo    (minorista)</t>
  </si>
  <si>
    <t>mRU</t>
  </si>
  <si>
    <t>microgrillo</t>
  </si>
  <si>
    <t>microrunner</t>
  </si>
  <si>
    <t>teléfono y celu</t>
  </si>
  <si>
    <t>micro blapticas</t>
  </si>
  <si>
    <t>mBl</t>
  </si>
  <si>
    <t xml:space="preserve">blaptica dubia       </t>
  </si>
  <si>
    <t>micro runner</t>
  </si>
  <si>
    <t>micro Blaptica Dubia</t>
  </si>
  <si>
    <t>OFERTA 5</t>
  </si>
  <si>
    <t>OFERTA 9</t>
  </si>
  <si>
    <t>Dr AHORRO %</t>
  </si>
  <si>
    <t>100 bl chicas</t>
  </si>
  <si>
    <t>100bl chicas</t>
  </si>
  <si>
    <t>100ch</t>
  </si>
  <si>
    <t>100RU ch</t>
  </si>
  <si>
    <t>Bl grandes</t>
  </si>
  <si>
    <r>
      <t xml:space="preserve">bl </t>
    </r>
    <r>
      <rPr>
        <b/>
        <sz val="10"/>
        <rFont val="Arial"/>
        <family val="2"/>
      </rPr>
      <t>medianas</t>
    </r>
  </si>
  <si>
    <t>blapticas medianas x 50</t>
  </si>
  <si>
    <t>blapticas grandes x 50</t>
  </si>
  <si>
    <t>runner grandes</t>
  </si>
  <si>
    <t>runner chicas</t>
  </si>
  <si>
    <t>100 chicos</t>
  </si>
  <si>
    <t>La opción de retiro por el criadero a partir del lunes (18 a 19hs) o martes a viernes (10 a 19hs) ahorra el costo de envío./ sábado de 11 a 17hs, previa reserva a grilloscapos@gmail.com</t>
  </si>
  <si>
    <t>dirección (calle, altura, piso, dpto,..) y entre calles</t>
  </si>
  <si>
    <t>tenebrios</t>
  </si>
  <si>
    <t>cuca runner chica</t>
  </si>
  <si>
    <t>Blaptica dubia mediana</t>
  </si>
  <si>
    <t>Blaptica dubia chica</t>
  </si>
  <si>
    <t>especie</t>
  </si>
  <si>
    <t>tamaño</t>
  </si>
  <si>
    <t>estandarizaciones por tamaños envase y especies</t>
  </si>
  <si>
    <t>envase</t>
  </si>
  <si>
    <t>blapticas</t>
  </si>
  <si>
    <t>grillos assimilys</t>
  </si>
  <si>
    <t>zophobas</t>
  </si>
  <si>
    <t>-</t>
  </si>
  <si>
    <t>x100</t>
  </si>
  <si>
    <t>x200</t>
  </si>
  <si>
    <t>grande</t>
  </si>
  <si>
    <t>mediano</t>
  </si>
  <si>
    <t>chico</t>
  </si>
  <si>
    <t>micro</t>
  </si>
  <si>
    <t>mediana</t>
  </si>
  <si>
    <t>chica</t>
  </si>
  <si>
    <t>x50</t>
  </si>
  <si>
    <t>x25</t>
  </si>
  <si>
    <t>peso total/ envase (1)</t>
  </si>
  <si>
    <t>(1) peso total promedio estadístico por envase. Este pero puede variar de semana a semana según diferentes stocks (+/-20%). El peso total incluye excedentes de envasado del 10 al 50% según producto como es costumbre en Grillos Capos.</t>
  </si>
  <si>
    <t>aprox 3mm</t>
  </si>
  <si>
    <t>aprox 5mm</t>
  </si>
  <si>
    <t>1,5 a 2,5cm</t>
  </si>
  <si>
    <t>1,5 a 3cm</t>
  </si>
  <si>
    <t>0,5 a 1,5cm</t>
  </si>
  <si>
    <t>3 a 7cm</t>
  </si>
  <si>
    <t>estadío</t>
  </si>
  <si>
    <t>adultas y subadultas</t>
  </si>
  <si>
    <t>juveniles</t>
  </si>
  <si>
    <t>ninfas</t>
  </si>
  <si>
    <t>adultos y subadultos</t>
  </si>
  <si>
    <t>adultos</t>
  </si>
  <si>
    <t>2 a 3,5cm</t>
  </si>
  <si>
    <t>0,5 a 2cm</t>
  </si>
  <si>
    <t>2 a 3cm</t>
  </si>
  <si>
    <t>1 a 2cm</t>
  </si>
  <si>
    <t>0,5 a 1cm</t>
  </si>
  <si>
    <t>3 a 5cm</t>
  </si>
  <si>
    <t>50grs</t>
  </si>
  <si>
    <t>20grs</t>
  </si>
  <si>
    <t>8grs</t>
  </si>
  <si>
    <t>80grs</t>
  </si>
  <si>
    <t>30grs</t>
  </si>
  <si>
    <t>33grs</t>
  </si>
  <si>
    <t>55grs</t>
  </si>
  <si>
    <t>17grs</t>
  </si>
  <si>
    <t>10grs</t>
  </si>
  <si>
    <t>60grs</t>
  </si>
  <si>
    <t>precio/100grs (MIN)</t>
  </si>
  <si>
    <t>grs</t>
  </si>
  <si>
    <t>cant.</t>
  </si>
  <si>
    <t>precio/100grs (MAY)</t>
  </si>
  <si>
    <t>Blaptica dubia grande</t>
  </si>
  <si>
    <t>Cuca Runner grande</t>
  </si>
  <si>
    <t>§ Los envios se realizan lunes a viernes de  de 9 a 19hs/  sábado de 12 a 16hs.</t>
  </si>
  <si>
    <t>3 meses</t>
  </si>
  <si>
    <t>2 meses</t>
  </si>
  <si>
    <t>2 semanas</t>
  </si>
  <si>
    <t>edad prom. (tiempo)</t>
  </si>
  <si>
    <t>5 meses</t>
  </si>
  <si>
    <t>3 semanas</t>
  </si>
  <si>
    <t>6 semanas</t>
  </si>
  <si>
    <t>5 semanas</t>
  </si>
  <si>
    <t>7 semanas</t>
  </si>
  <si>
    <t>3/4 semanas</t>
  </si>
  <si>
    <t>larvas</t>
  </si>
  <si>
    <t>Grillos</t>
  </si>
  <si>
    <t>con este pedido podes sumar :</t>
  </si>
  <si>
    <t>120 Runner medianas/grandes</t>
  </si>
  <si>
    <t>150 runner chicas</t>
  </si>
  <si>
    <t>250 micro runner</t>
  </si>
  <si>
    <t>70 blapticas grandes↨</t>
  </si>
  <si>
    <t>70 blapticas medianas↨</t>
  </si>
  <si>
    <t>150 blapticas chicas</t>
  </si>
  <si>
    <t>250 micro Blapticas</t>
  </si>
  <si>
    <t>50grs de grillos grandes</t>
  </si>
  <si>
    <t>120 grillos medianos</t>
  </si>
  <si>
    <t>200 micro grillos</t>
  </si>
  <si>
    <t>110 Zophobas</t>
  </si>
  <si>
    <t>250 tenebrios</t>
  </si>
  <si>
    <t>250 grillos chicos</t>
  </si>
  <si>
    <r>
      <t>Ejemplo:  si necesitas 240grillos medianos 70 blapticas grandes y 110 zophobas colocar</t>
    </r>
    <r>
      <rPr>
        <b/>
        <sz val="14"/>
        <color indexed="10"/>
        <rFont val="Berlin Sans FB Demi"/>
        <family val="2"/>
      </rPr>
      <t xml:space="preserve"> 2 </t>
    </r>
    <r>
      <rPr>
        <b/>
        <sz val="14"/>
        <rFont val="Berlin Sans FB Demi"/>
        <family val="2"/>
      </rPr>
      <t xml:space="preserve">debajo de </t>
    </r>
    <r>
      <rPr>
        <b/>
        <sz val="14"/>
        <color indexed="10"/>
        <rFont val="Berlin Sans FB Demi"/>
        <family val="2"/>
      </rPr>
      <t>120 medianos</t>
    </r>
    <r>
      <rPr>
        <b/>
        <sz val="14"/>
        <rFont val="Berlin Sans FB Demi"/>
        <family val="2"/>
      </rPr>
      <t xml:space="preserve">, </t>
    </r>
    <r>
      <rPr>
        <b/>
        <sz val="14"/>
        <color indexed="10"/>
        <rFont val="Berlin Sans FB Demi"/>
        <family val="2"/>
      </rPr>
      <t>1</t>
    </r>
    <r>
      <rPr>
        <b/>
        <sz val="14"/>
        <rFont val="Berlin Sans FB Demi"/>
        <family val="2"/>
      </rPr>
      <t xml:space="preserve"> debajo de 7</t>
    </r>
    <r>
      <rPr>
        <b/>
        <sz val="14"/>
        <color indexed="10"/>
        <rFont val="Berlin Sans FB Demi"/>
        <family val="2"/>
      </rPr>
      <t xml:space="preserve">0 blapticas grandes </t>
    </r>
    <r>
      <rPr>
        <b/>
        <sz val="14"/>
        <rFont val="Berlin Sans FB Demi"/>
        <family val="2"/>
      </rPr>
      <t xml:space="preserve">y </t>
    </r>
    <r>
      <rPr>
        <b/>
        <sz val="14"/>
        <color indexed="10"/>
        <rFont val="Berlin Sans FB Demi"/>
        <family val="2"/>
      </rPr>
      <t xml:space="preserve">1 </t>
    </r>
    <r>
      <rPr>
        <b/>
        <sz val="14"/>
        <rFont val="Berlin Sans FB Demi"/>
        <family val="2"/>
      </rPr>
      <t xml:space="preserve">debajo de </t>
    </r>
    <r>
      <rPr>
        <b/>
        <sz val="14"/>
        <color indexed="10"/>
        <rFont val="Berlin Sans FB Demi"/>
        <family val="2"/>
      </rPr>
      <t>110 zophobas</t>
    </r>
    <r>
      <rPr>
        <b/>
        <sz val="14"/>
        <rFont val="Berlin Sans FB Demi"/>
        <family val="2"/>
      </rPr>
      <t xml:space="preserve">. (el número es cantidad de potes pedidos, no cantidad de insectos). El costo total y la promoción se calcula automáticamente.  </t>
    </r>
    <r>
      <rPr>
        <b/>
        <sz val="18"/>
        <color indexed="10"/>
        <rFont val="Berlin Sans FB Demi"/>
        <family val="2"/>
      </rPr>
      <t>A medida que aumentás el pedido, disminuye el precio unitario.</t>
    </r>
  </si>
  <si>
    <r>
      <rPr>
        <b/>
        <sz val="14"/>
        <color indexed="10"/>
        <rFont val="Berlin Sans FB Demi"/>
        <family val="2"/>
      </rPr>
      <t xml:space="preserve">bonificaciones. </t>
    </r>
    <r>
      <rPr>
        <b/>
        <sz val="14"/>
        <rFont val="Berlin Sans FB Demi"/>
        <family val="2"/>
      </rPr>
      <t>Las bonificaciones son porciones extras sin cargo que se suman al pedido sin modificar el costo. Varían de semana en semana entre tenebrios, blapticas, grillos y zophobas. Consulta que productos podes elegir para sumar como bonificación esta semana!</t>
    </r>
  </si>
  <si>
    <t>precios mayoristas en pedidos &gt; 5000$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</si>
</sst>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_ ;[Red]\-0.00\ "/>
    <numFmt numFmtId="189" formatCode="0_ ;[Red]\-0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"/>
    <numFmt numFmtId="195" formatCode="0.000"/>
    <numFmt numFmtId="196" formatCode="0.000%"/>
    <numFmt numFmtId="197" formatCode="0.0%"/>
    <numFmt numFmtId="198" formatCode="0.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_ ;[Red]\-0.000\ "/>
    <numFmt numFmtId="205" formatCode="0.0_ ;[Red]\-0.0\ "/>
    <numFmt numFmtId="206" formatCode="[$$-2C0A]\ #,##0.00"/>
    <numFmt numFmtId="207" formatCode="[$$-2C0A]\ #,##0.000"/>
    <numFmt numFmtId="208" formatCode="[$$-2C0A]\ #,##0.0"/>
    <numFmt numFmtId="209" formatCode="[$$-2C0A]\ #,##0"/>
    <numFmt numFmtId="210" formatCode="0.0000000000"/>
    <numFmt numFmtId="211" formatCode="&quot;$&quot;\ #,##0.00"/>
    <numFmt numFmtId="212" formatCode="_-[$$-1004]* #,##0_ ;_-[$$-1004]* \-#,##0\ ;_-[$$-1004]* &quot;-&quot;_ ;_-@_ "/>
    <numFmt numFmtId="213" formatCode="_-[$$-476]* #,##0_ ;_-[$$-476]* \-#,##0\ ;_-[$$-476]* &quot;-&quot;_ ;_-@_ "/>
  </numFmts>
  <fonts count="8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color indexed="48"/>
      <name val="Arial"/>
      <family val="2"/>
    </font>
    <font>
      <sz val="8"/>
      <name val="Arial"/>
      <family val="2"/>
    </font>
    <font>
      <b/>
      <sz val="18"/>
      <color indexed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6"/>
      <color indexed="16"/>
      <name val="Arial"/>
      <family val="2"/>
    </font>
    <font>
      <b/>
      <sz val="18"/>
      <color indexed="17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4"/>
      <color indexed="12"/>
      <name val="Arial"/>
      <family val="2"/>
    </font>
    <font>
      <b/>
      <sz val="11"/>
      <name val="Arial"/>
      <family val="2"/>
    </font>
    <font>
      <b/>
      <sz val="14"/>
      <name val="Berlin Sans FB Demi"/>
      <family val="2"/>
    </font>
    <font>
      <b/>
      <sz val="14"/>
      <color indexed="10"/>
      <name val="Berlin Sans FB Demi"/>
      <family val="2"/>
    </font>
    <font>
      <b/>
      <sz val="18"/>
      <color indexed="10"/>
      <name val="Berlin Sans FB Demi"/>
      <family val="2"/>
    </font>
    <font>
      <b/>
      <sz val="11"/>
      <color indexed="12"/>
      <name val="Arial"/>
      <family val="2"/>
    </font>
    <font>
      <b/>
      <i/>
      <sz val="28"/>
      <name val="Arial"/>
      <family val="2"/>
    </font>
    <font>
      <b/>
      <sz val="24"/>
      <name val="Arial"/>
      <family val="2"/>
    </font>
    <font>
      <b/>
      <sz val="9"/>
      <color indexed="1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36"/>
      <name val="Bauhaus 93"/>
      <family val="5"/>
    </font>
    <font>
      <b/>
      <sz val="28"/>
      <name val="Berlin Sans FB Demi"/>
      <family val="2"/>
    </font>
    <font>
      <b/>
      <sz val="2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16"/>
      <color indexed="36"/>
      <name val="Arial"/>
      <family val="2"/>
    </font>
    <font>
      <sz val="16"/>
      <color indexed="36"/>
      <name val="Arial"/>
      <family val="2"/>
    </font>
    <font>
      <sz val="10"/>
      <color indexed="36"/>
      <name val="Arial"/>
      <family val="2"/>
    </font>
    <font>
      <b/>
      <sz val="8"/>
      <color indexed="36"/>
      <name val="Arial"/>
      <family val="2"/>
    </font>
    <font>
      <b/>
      <sz val="12"/>
      <color indexed="9"/>
      <name val="Arial"/>
      <family val="2"/>
    </font>
    <font>
      <sz val="36"/>
      <color indexed="10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sz val="14"/>
      <color theme="0"/>
      <name val="Arial"/>
      <family val="2"/>
    </font>
    <font>
      <b/>
      <sz val="16"/>
      <color rgb="FF7030A0"/>
      <name val="Arial"/>
      <family val="2"/>
    </font>
    <font>
      <sz val="16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b/>
      <sz val="12"/>
      <color theme="0"/>
      <name val="Arial"/>
      <family val="2"/>
    </font>
    <font>
      <sz val="36"/>
      <color rgb="FFFF0000"/>
      <name val="Arial Rounded MT Bold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7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33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wrapText="1"/>
      <protection hidden="1"/>
    </xf>
    <xf numFmtId="0" fontId="2" fillId="33" borderId="14" xfId="0" applyFont="1" applyFill="1" applyBorder="1" applyAlignment="1" applyProtection="1">
      <alignment horizontal="center"/>
      <protection locked="0"/>
    </xf>
    <xf numFmtId="189" fontId="4" fillId="0" borderId="13" xfId="0" applyNumberFormat="1" applyFont="1" applyBorder="1" applyAlignment="1" applyProtection="1">
      <alignment horizontal="center"/>
      <protection hidden="1"/>
    </xf>
    <xf numFmtId="206" fontId="8" fillId="0" borderId="13" xfId="0" applyNumberFormat="1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hidden="1"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2" fontId="0" fillId="0" borderId="11" xfId="0" applyNumberFormat="1" applyBorder="1" applyAlignment="1">
      <alignment horizontal="center"/>
    </xf>
    <xf numFmtId="209" fontId="10" fillId="34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06" fontId="8" fillId="0" borderId="0" xfId="0" applyNumberFormat="1" applyFont="1" applyBorder="1" applyAlignment="1">
      <alignment horizontal="center"/>
    </xf>
    <xf numFmtId="0" fontId="1" fillId="0" borderId="11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189" fontId="2" fillId="0" borderId="11" xfId="0" applyNumberFormat="1" applyFont="1" applyBorder="1" applyAlignment="1" applyProtection="1">
      <alignment horizontal="center"/>
      <protection hidden="1"/>
    </xf>
    <xf numFmtId="189" fontId="2" fillId="0" borderId="13" xfId="0" applyNumberFormat="1" applyFont="1" applyBorder="1" applyAlignment="1" applyProtection="1">
      <alignment horizontal="center"/>
      <protection hidden="1"/>
    </xf>
    <xf numFmtId="189" fontId="2" fillId="0" borderId="15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wrapText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 quotePrefix="1">
      <alignment horizontal="center"/>
      <protection hidden="1"/>
    </xf>
    <xf numFmtId="2" fontId="6" fillId="0" borderId="13" xfId="0" applyNumberFormat="1" applyFont="1" applyBorder="1" applyAlignment="1" applyProtection="1">
      <alignment horizontal="center" wrapText="1"/>
      <protection hidden="1"/>
    </xf>
    <xf numFmtId="2" fontId="6" fillId="0" borderId="18" xfId="0" applyNumberFormat="1" applyFont="1" applyBorder="1" applyAlignment="1" applyProtection="1">
      <alignment horizontal="center" wrapText="1"/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 quotePrefix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2" fontId="0" fillId="0" borderId="13" xfId="0" applyNumberFormat="1" applyFill="1" applyBorder="1" applyAlignment="1" applyProtection="1">
      <alignment horizontal="center"/>
      <protection hidden="1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/>
      <protection hidden="1"/>
    </xf>
    <xf numFmtId="2" fontId="6" fillId="0" borderId="18" xfId="0" applyNumberFormat="1" applyFont="1" applyFill="1" applyBorder="1" applyAlignment="1" applyProtection="1">
      <alignment horizontal="center" wrapText="1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2" fontId="0" fillId="0" borderId="1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20" xfId="0" applyNumberForma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/>
      <protection hidden="1"/>
    </xf>
    <xf numFmtId="0" fontId="0" fillId="0" borderId="13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202" fontId="0" fillId="0" borderId="21" xfId="0" applyNumberFormat="1" applyBorder="1" applyAlignment="1">
      <alignment horizontal="center"/>
    </xf>
    <xf numFmtId="189" fontId="2" fillId="0" borderId="12" xfId="0" applyNumberFormat="1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/>
    </xf>
    <xf numFmtId="0" fontId="77" fillId="0" borderId="11" xfId="53" applyFont="1" applyBorder="1" applyAlignment="1" applyProtection="1">
      <alignment horizontal="center" wrapText="1"/>
      <protection/>
    </xf>
    <xf numFmtId="0" fontId="78" fillId="0" borderId="11" xfId="53" applyFont="1" applyBorder="1" applyAlignment="1" applyProtection="1">
      <alignment horizontal="center" wrapText="1"/>
      <protection/>
    </xf>
    <xf numFmtId="0" fontId="79" fillId="0" borderId="11" xfId="53" applyFont="1" applyBorder="1" applyAlignment="1" applyProtection="1">
      <alignment horizontal="center" wrapText="1"/>
      <protection/>
    </xf>
    <xf numFmtId="0" fontId="2" fillId="0" borderId="11" xfId="53" applyFont="1" applyBorder="1" applyAlignment="1" applyProtection="1">
      <alignment horizontal="center" wrapText="1"/>
      <protection/>
    </xf>
    <xf numFmtId="0" fontId="2" fillId="0" borderId="13" xfId="53" applyFont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9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 horizontal="right" wrapText="1"/>
    </xf>
    <xf numFmtId="0" fontId="13" fillId="0" borderId="19" xfId="0" applyFont="1" applyFill="1" applyBorder="1" applyAlignment="1">
      <alignment horizontal="right"/>
    </xf>
    <xf numFmtId="0" fontId="13" fillId="0" borderId="23" xfId="0" applyFont="1" applyBorder="1" applyAlignment="1">
      <alignment horizontal="right"/>
    </xf>
    <xf numFmtId="211" fontId="4" fillId="0" borderId="23" xfId="0" applyNumberFormat="1" applyFont="1" applyBorder="1" applyAlignment="1">
      <alignment horizontal="center"/>
    </xf>
    <xf numFmtId="211" fontId="4" fillId="0" borderId="20" xfId="0" applyNumberFormat="1" applyFont="1" applyBorder="1" applyAlignment="1">
      <alignment horizontal="center"/>
    </xf>
    <xf numFmtId="9" fontId="80" fillId="35" borderId="20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6" fillId="0" borderId="11" xfId="0" applyFont="1" applyBorder="1" applyAlignment="1" applyProtection="1">
      <alignment horizontal="right" wrapText="1"/>
      <protection hidden="1"/>
    </xf>
    <xf numFmtId="0" fontId="6" fillId="0" borderId="10" xfId="0" applyFont="1" applyBorder="1" applyAlignment="1" applyProtection="1">
      <alignment horizontal="right" wrapText="1"/>
      <protection hidden="1"/>
    </xf>
    <xf numFmtId="0" fontId="6" fillId="0" borderId="10" xfId="0" applyFont="1" applyFill="1" applyBorder="1" applyAlignment="1" applyProtection="1">
      <alignment horizontal="right" wrapText="1"/>
      <protection hidden="1"/>
    </xf>
    <xf numFmtId="0" fontId="0" fillId="0" borderId="11" xfId="0" applyBorder="1" applyAlignment="1">
      <alignment horizontal="right"/>
    </xf>
    <xf numFmtId="0" fontId="2" fillId="0" borderId="11" xfId="0" applyFon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center" wrapText="1"/>
      <protection hidden="1"/>
    </xf>
    <xf numFmtId="202" fontId="0" fillId="0" borderId="0" xfId="0" applyNumberFormat="1" applyBorder="1" applyAlignment="1">
      <alignment horizontal="center"/>
    </xf>
    <xf numFmtId="202" fontId="0" fillId="0" borderId="13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 wrapText="1"/>
    </xf>
    <xf numFmtId="213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6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3" fillId="0" borderId="27" xfId="0" applyFont="1" applyBorder="1" applyAlignment="1">
      <alignment horizontal="right"/>
    </xf>
    <xf numFmtId="0" fontId="0" fillId="36" borderId="26" xfId="0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213" fontId="0" fillId="36" borderId="26" xfId="0" applyNumberFormat="1" applyFill="1" applyBorder="1" applyAlignment="1">
      <alignment/>
    </xf>
    <xf numFmtId="0" fontId="0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213" fontId="0" fillId="0" borderId="26" xfId="0" applyNumberFormat="1" applyFill="1" applyBorder="1" applyAlignment="1">
      <alignment/>
    </xf>
    <xf numFmtId="0" fontId="25" fillId="36" borderId="11" xfId="0" applyFont="1" applyFill="1" applyBorder="1" applyAlignment="1">
      <alignment/>
    </xf>
    <xf numFmtId="0" fontId="25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/>
    </xf>
    <xf numFmtId="211" fontId="4" fillId="0" borderId="0" xfId="0" applyNumberFormat="1" applyFont="1" applyBorder="1" applyAlignment="1">
      <alignment horizontal="center"/>
    </xf>
    <xf numFmtId="9" fontId="80" fillId="0" borderId="0" xfId="0" applyNumberFormat="1" applyFont="1" applyFill="1" applyBorder="1" applyAlignment="1">
      <alignment horizontal="center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18" xfId="0" applyFont="1" applyBorder="1" applyAlignment="1">
      <alignment horizontal="left" wrapText="1"/>
    </xf>
    <xf numFmtId="0" fontId="84" fillId="0" borderId="13" xfId="0" applyFont="1" applyBorder="1" applyAlignment="1">
      <alignment horizontal="left" wrapText="1"/>
    </xf>
    <xf numFmtId="0" fontId="84" fillId="0" borderId="13" xfId="0" applyFont="1" applyBorder="1" applyAlignment="1">
      <alignment/>
    </xf>
    <xf numFmtId="0" fontId="84" fillId="0" borderId="18" xfId="0" applyFont="1" applyBorder="1" applyAlignment="1">
      <alignment/>
    </xf>
    <xf numFmtId="0" fontId="85" fillId="0" borderId="20" xfId="0" applyFont="1" applyBorder="1" applyAlignment="1">
      <alignment/>
    </xf>
    <xf numFmtId="0" fontId="26" fillId="0" borderId="26" xfId="0" applyFont="1" applyBorder="1" applyAlignment="1">
      <alignment/>
    </xf>
    <xf numFmtId="0" fontId="21" fillId="0" borderId="24" xfId="53" applyFont="1" applyBorder="1" applyAlignment="1" applyProtection="1">
      <alignment horizontal="center" wrapText="1"/>
      <protection/>
    </xf>
    <xf numFmtId="0" fontId="21" fillId="0" borderId="13" xfId="53" applyFont="1" applyBorder="1" applyAlignment="1" applyProtection="1">
      <alignment horizontal="center" wrapText="1"/>
      <protection/>
    </xf>
    <xf numFmtId="2" fontId="0" fillId="0" borderId="12" xfId="0" applyNumberFormat="1" applyBorder="1" applyAlignment="1">
      <alignment horizontal="center"/>
    </xf>
    <xf numFmtId="2" fontId="0" fillId="0" borderId="15" xfId="0" applyNumberFormat="1" applyFill="1" applyBorder="1" applyAlignment="1" applyProtection="1">
      <alignment horizontal="center"/>
      <protection hidden="1"/>
    </xf>
    <xf numFmtId="2" fontId="6" fillId="0" borderId="11" xfId="0" applyNumberFormat="1" applyFont="1" applyBorder="1" applyAlignment="1">
      <alignment horizontal="center" wrapText="1"/>
    </xf>
    <xf numFmtId="0" fontId="2" fillId="33" borderId="13" xfId="0" applyFont="1" applyFill="1" applyBorder="1" applyAlignment="1" applyProtection="1">
      <alignment horizontal="center"/>
      <protection hidden="1"/>
    </xf>
    <xf numFmtId="0" fontId="24" fillId="37" borderId="23" xfId="0" applyFont="1" applyFill="1" applyBorder="1" applyAlignment="1">
      <alignment horizontal="center" wrapText="1"/>
    </xf>
    <xf numFmtId="0" fontId="24" fillId="37" borderId="20" xfId="0" applyFont="1" applyFill="1" applyBorder="1" applyAlignment="1">
      <alignment horizontal="center" wrapText="1"/>
    </xf>
    <xf numFmtId="0" fontId="86" fillId="35" borderId="20" xfId="0" applyFont="1" applyFill="1" applyBorder="1" applyAlignment="1">
      <alignment horizontal="center" wrapText="1"/>
    </xf>
    <xf numFmtId="209" fontId="2" fillId="0" borderId="11" xfId="0" applyNumberFormat="1" applyFont="1" applyBorder="1" applyAlignment="1">
      <alignment horizontal="center"/>
    </xf>
    <xf numFmtId="209" fontId="2" fillId="0" borderId="13" xfId="0" applyNumberFormat="1" applyFont="1" applyBorder="1" applyAlignment="1">
      <alignment horizontal="center"/>
    </xf>
    <xf numFmtId="209" fontId="2" fillId="0" borderId="11" xfId="0" applyNumberFormat="1" applyFont="1" applyBorder="1" applyAlignment="1">
      <alignment horizontal="center" wrapText="1"/>
    </xf>
    <xf numFmtId="209" fontId="2" fillId="0" borderId="15" xfId="0" applyNumberFormat="1" applyFont="1" applyBorder="1" applyAlignment="1">
      <alignment horizontal="center" wrapText="1"/>
    </xf>
    <xf numFmtId="209" fontId="2" fillId="0" borderId="13" xfId="0" applyNumberFormat="1" applyFont="1" applyBorder="1" applyAlignment="1">
      <alignment horizontal="center" wrapText="1"/>
    </xf>
    <xf numFmtId="209" fontId="2" fillId="0" borderId="12" xfId="0" applyNumberFormat="1" applyFont="1" applyBorder="1" applyAlignment="1">
      <alignment horizontal="center"/>
    </xf>
    <xf numFmtId="0" fontId="29" fillId="38" borderId="15" xfId="0" applyFont="1" applyFill="1" applyBorder="1" applyAlignment="1">
      <alignment/>
    </xf>
    <xf numFmtId="0" fontId="25" fillId="38" borderId="15" xfId="0" applyFont="1" applyFill="1" applyBorder="1" applyAlignment="1">
      <alignment/>
    </xf>
    <xf numFmtId="0" fontId="30" fillId="38" borderId="15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4" fillId="39" borderId="20" xfId="0" applyFont="1" applyFill="1" applyBorder="1" applyAlignment="1">
      <alignment horizontal="right" shrinkToFit="1"/>
    </xf>
    <xf numFmtId="0" fontId="17" fillId="40" borderId="13" xfId="53" applyFont="1" applyFill="1" applyBorder="1" applyAlignment="1" applyProtection="1">
      <alignment horizontal="center" wrapText="1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1" fillId="38" borderId="11" xfId="0" applyFont="1" applyFill="1" applyBorder="1" applyAlignment="1">
      <alignment/>
    </xf>
    <xf numFmtId="1" fontId="87" fillId="41" borderId="20" xfId="0" applyNumberFormat="1" applyFont="1" applyFill="1" applyBorder="1" applyAlignment="1">
      <alignment horizontal="center" wrapText="1"/>
    </xf>
    <xf numFmtId="209" fontId="2" fillId="0" borderId="11" xfId="0" applyNumberFormat="1" applyFont="1" applyBorder="1" applyAlignment="1">
      <alignment horizontal="center" wrapText="1"/>
    </xf>
    <xf numFmtId="209" fontId="2" fillId="0" borderId="12" xfId="0" applyNumberFormat="1" applyFont="1" applyBorder="1" applyAlignment="1">
      <alignment horizontal="center" wrapText="1"/>
    </xf>
    <xf numFmtId="0" fontId="22" fillId="42" borderId="17" xfId="0" applyFont="1" applyFill="1" applyBorder="1" applyAlignment="1">
      <alignment horizontal="center" wrapText="1"/>
    </xf>
    <xf numFmtId="0" fontId="22" fillId="42" borderId="16" xfId="0" applyFont="1" applyFill="1" applyBorder="1" applyAlignment="1">
      <alignment horizontal="center" wrapText="1"/>
    </xf>
    <xf numFmtId="0" fontId="22" fillId="42" borderId="23" xfId="0" applyFont="1" applyFill="1" applyBorder="1" applyAlignment="1">
      <alignment horizontal="center" wrapText="1"/>
    </xf>
    <xf numFmtId="0" fontId="27" fillId="40" borderId="11" xfId="0" applyFont="1" applyFill="1" applyBorder="1" applyAlignment="1">
      <alignment horizontal="center" wrapText="1"/>
    </xf>
    <xf numFmtId="0" fontId="17" fillId="40" borderId="15" xfId="0" applyFont="1" applyFill="1" applyBorder="1" applyAlignment="1">
      <alignment horizontal="center" wrapText="1"/>
    </xf>
    <xf numFmtId="0" fontId="17" fillId="40" borderId="12" xfId="0" applyFont="1" applyFill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23" fillId="43" borderId="17" xfId="0" applyFont="1" applyFill="1" applyBorder="1" applyAlignment="1">
      <alignment horizontal="center" wrapText="1"/>
    </xf>
    <xf numFmtId="0" fontId="23" fillId="43" borderId="16" xfId="0" applyFont="1" applyFill="1" applyBorder="1" applyAlignment="1">
      <alignment horizontal="center" wrapText="1"/>
    </xf>
    <xf numFmtId="0" fontId="23" fillId="43" borderId="23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9" fillId="33" borderId="19" xfId="0" applyFont="1" applyFill="1" applyBorder="1" applyAlignment="1" applyProtection="1">
      <alignment horizontal="center" wrapText="1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88" fillId="0" borderId="22" xfId="0" applyFont="1" applyBorder="1" applyAlignment="1">
      <alignment horizontal="left" wrapText="1"/>
    </xf>
    <xf numFmtId="0" fontId="88" fillId="0" borderId="28" xfId="0" applyFont="1" applyBorder="1" applyAlignment="1">
      <alignment horizontal="left" wrapText="1"/>
    </xf>
    <xf numFmtId="0" fontId="88" fillId="0" borderId="27" xfId="0" applyFont="1" applyBorder="1" applyAlignment="1">
      <alignment horizontal="left" wrapText="1"/>
    </xf>
    <xf numFmtId="0" fontId="88" fillId="0" borderId="17" xfId="0" applyFont="1" applyBorder="1" applyAlignment="1">
      <alignment horizontal="left" wrapText="1"/>
    </xf>
    <xf numFmtId="0" fontId="88" fillId="0" borderId="16" xfId="0" applyFont="1" applyBorder="1" applyAlignment="1">
      <alignment horizontal="left" wrapText="1"/>
    </xf>
    <xf numFmtId="0" fontId="88" fillId="0" borderId="23" xfId="0" applyFont="1" applyBorder="1" applyAlignment="1">
      <alignment horizontal="left" wrapText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29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1" fillId="0" borderId="15" xfId="0" applyFont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 wrapText="1"/>
      <protection locked="0"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9" fillId="33" borderId="17" xfId="0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9" fillId="33" borderId="2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media/set/?set=a.223217821069354.56521.100001434121633&amp;l=bc89b5c2f2&amp;type=1" TargetMode="External" /><Relationship Id="rId2" Type="http://schemas.openxmlformats.org/officeDocument/2006/relationships/hyperlink" Target="http://www.grilloscapos.com.ar/blaptica.htm" TargetMode="External" /><Relationship Id="rId3" Type="http://schemas.openxmlformats.org/officeDocument/2006/relationships/hyperlink" Target="http://www.grilloscapos.com.ar/zophobas_y_tenebrios.htm" TargetMode="External" /><Relationship Id="rId4" Type="http://schemas.openxmlformats.org/officeDocument/2006/relationships/hyperlink" Target="http://www.grilloscapos.com.ar/blaptica.htm" TargetMode="External" /><Relationship Id="rId5" Type="http://schemas.openxmlformats.org/officeDocument/2006/relationships/hyperlink" Target="http://www.grilloscapos.com.ar/precios3.ht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8"/>
  <sheetViews>
    <sheetView tabSelected="1" zoomScalePageLayoutView="0" workbookViewId="0" topLeftCell="A1">
      <selection activeCell="E2" sqref="E2:H2"/>
    </sheetView>
  </sheetViews>
  <sheetFormatPr defaultColWidth="11.421875" defaultRowHeight="12.75"/>
  <cols>
    <col min="1" max="1" width="19.421875" style="0" customWidth="1"/>
    <col min="2" max="4" width="1.7109375" style="0" customWidth="1"/>
    <col min="5" max="8" width="13.57421875" style="0" customWidth="1"/>
    <col min="9" max="9" width="0.71875" style="0" customWidth="1"/>
    <col min="10" max="11" width="13.57421875" style="0" customWidth="1"/>
    <col min="12" max="12" width="0.9921875" style="0" customWidth="1"/>
    <col min="13" max="13" width="13.57421875" style="0" customWidth="1"/>
    <col min="14" max="14" width="1.1484375" style="0" customWidth="1"/>
    <col min="15" max="15" width="15.421875" style="0" customWidth="1"/>
    <col min="16" max="16" width="16.421875" style="0" customWidth="1"/>
    <col min="17" max="17" width="15.421875" style="0" customWidth="1"/>
    <col min="18" max="18" width="20.28125" style="0" customWidth="1"/>
    <col min="19" max="22" width="12.57421875" style="0" customWidth="1"/>
    <col min="23" max="29" width="11.421875" style="0" customWidth="1"/>
    <col min="30" max="30" width="9.8515625" style="0" customWidth="1"/>
    <col min="31" max="31" width="11.421875" style="0" customWidth="1"/>
    <col min="32" max="32" width="13.421875" style="0" customWidth="1"/>
    <col min="33" max="33" width="11.421875" style="0" customWidth="1"/>
    <col min="34" max="34" width="12.57421875" style="0" bestFit="1" customWidth="1"/>
    <col min="35" max="37" width="11.421875" style="0" customWidth="1"/>
    <col min="38" max="38" width="12.57421875" style="0" bestFit="1" customWidth="1"/>
    <col min="39" max="39" width="12.57421875" style="0" customWidth="1"/>
    <col min="40" max="40" width="11.421875" style="0" customWidth="1"/>
    <col min="41" max="41" width="12.57421875" style="0" bestFit="1" customWidth="1"/>
    <col min="42" max="57" width="11.421875" style="0" customWidth="1"/>
    <col min="58" max="58" width="32.140625" style="0" customWidth="1"/>
  </cols>
  <sheetData>
    <row r="1" spans="1:26" ht="31.5" customHeight="1" thickBot="1">
      <c r="A1" s="171" t="s">
        <v>24</v>
      </c>
      <c r="B1" s="161"/>
      <c r="C1" s="161"/>
      <c r="D1" s="162"/>
      <c r="E1" s="162"/>
      <c r="F1" s="162"/>
      <c r="G1" s="162"/>
      <c r="H1" s="163" t="s">
        <v>157</v>
      </c>
      <c r="I1" s="162"/>
      <c r="J1" s="164"/>
      <c r="K1" s="164"/>
      <c r="L1" s="164"/>
      <c r="M1" s="164"/>
      <c r="N1" s="164"/>
      <c r="O1" s="164"/>
      <c r="P1" s="164"/>
      <c r="Q1" s="164"/>
      <c r="R1" s="2"/>
      <c r="S1" s="41"/>
      <c r="T1" s="41"/>
      <c r="U1" s="41"/>
      <c r="V1" s="41"/>
      <c r="W1" s="41"/>
      <c r="X1" s="41"/>
      <c r="Y1" s="41"/>
      <c r="Z1" s="41"/>
    </row>
    <row r="2" spans="1:74" ht="48.75" customHeight="1" thickBot="1">
      <c r="A2" s="1"/>
      <c r="B2" s="189"/>
      <c r="C2" s="190"/>
      <c r="D2" s="191"/>
      <c r="E2" s="175" t="s">
        <v>51</v>
      </c>
      <c r="F2" s="176"/>
      <c r="G2" s="176"/>
      <c r="H2" s="177"/>
      <c r="I2" s="178" t="s">
        <v>140</v>
      </c>
      <c r="J2" s="179"/>
      <c r="K2" s="179"/>
      <c r="L2" s="179"/>
      <c r="M2" s="179"/>
      <c r="N2" s="179"/>
      <c r="O2" s="180"/>
      <c r="P2" s="165" t="s">
        <v>25</v>
      </c>
      <c r="Q2" s="165" t="s">
        <v>29</v>
      </c>
      <c r="R2" s="2"/>
      <c r="S2" s="41"/>
      <c r="T2" s="41"/>
      <c r="U2" s="41"/>
      <c r="V2" s="41"/>
      <c r="W2" s="41"/>
      <c r="X2" s="41"/>
      <c r="Y2" s="41"/>
      <c r="Z2" s="41"/>
      <c r="AA2" s="41"/>
      <c r="AB2" s="213" t="s">
        <v>0</v>
      </c>
      <c r="AC2" s="217"/>
      <c r="AD2" s="217"/>
      <c r="AE2" s="214"/>
      <c r="AF2" s="64"/>
      <c r="AG2" s="62"/>
      <c r="AH2" s="107"/>
      <c r="AI2" s="63"/>
      <c r="AJ2" s="62"/>
      <c r="AK2" s="213" t="s">
        <v>1</v>
      </c>
      <c r="AL2" s="214"/>
      <c r="AM2" s="30"/>
      <c r="AN2" s="213" t="s">
        <v>2</v>
      </c>
      <c r="AO2" s="214"/>
      <c r="AP2" s="29"/>
      <c r="AQ2" s="30"/>
      <c r="AR2" s="31"/>
      <c r="AS2" s="30"/>
      <c r="AT2" s="31"/>
      <c r="AU2" s="30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2" ht="63.75" customHeight="1" thickBot="1">
      <c r="A3" s="7" t="s">
        <v>39</v>
      </c>
      <c r="B3" s="71" t="s">
        <v>142</v>
      </c>
      <c r="C3" s="72" t="s">
        <v>143</v>
      </c>
      <c r="D3" s="72" t="s">
        <v>144</v>
      </c>
      <c r="E3" s="73" t="s">
        <v>145</v>
      </c>
      <c r="F3" s="73" t="s">
        <v>146</v>
      </c>
      <c r="G3" s="73" t="s">
        <v>147</v>
      </c>
      <c r="H3" s="73" t="s">
        <v>148</v>
      </c>
      <c r="I3" s="74"/>
      <c r="J3" s="75" t="s">
        <v>149</v>
      </c>
      <c r="K3" s="74" t="s">
        <v>150</v>
      </c>
      <c r="L3" s="166"/>
      <c r="M3" s="75" t="s">
        <v>154</v>
      </c>
      <c r="N3" s="75" t="s">
        <v>67</v>
      </c>
      <c r="O3" s="76" t="s">
        <v>151</v>
      </c>
      <c r="P3" s="146" t="s">
        <v>152</v>
      </c>
      <c r="Q3" s="147" t="s">
        <v>153</v>
      </c>
      <c r="R3" s="2"/>
      <c r="S3" s="9" t="s">
        <v>41</v>
      </c>
      <c r="T3" s="9" t="s">
        <v>60</v>
      </c>
      <c r="U3" s="26" t="s">
        <v>45</v>
      </c>
      <c r="V3" s="26" t="s">
        <v>61</v>
      </c>
      <c r="W3" s="27" t="s">
        <v>62</v>
      </c>
      <c r="X3" s="27" t="s">
        <v>58</v>
      </c>
      <c r="Y3" s="27" t="s">
        <v>50</v>
      </c>
      <c r="Z3" s="27" t="s">
        <v>35</v>
      </c>
      <c r="AA3" s="38" t="s">
        <v>4</v>
      </c>
      <c r="AB3" s="32" t="s">
        <v>5</v>
      </c>
      <c r="AC3" s="38" t="s">
        <v>3</v>
      </c>
      <c r="AD3" s="32" t="s">
        <v>59</v>
      </c>
      <c r="AE3" s="108" t="s">
        <v>20</v>
      </c>
      <c r="AF3" s="38" t="s">
        <v>26</v>
      </c>
      <c r="AG3" s="32" t="s">
        <v>30</v>
      </c>
      <c r="AH3" s="32" t="s">
        <v>27</v>
      </c>
      <c r="AI3" s="63"/>
      <c r="AJ3" s="61"/>
      <c r="AK3" s="12" t="s">
        <v>32</v>
      </c>
      <c r="AL3" s="5" t="s">
        <v>6</v>
      </c>
      <c r="AM3" s="65" t="s">
        <v>7</v>
      </c>
      <c r="AN3" s="66" t="s">
        <v>8</v>
      </c>
      <c r="AO3" s="67" t="s">
        <v>9</v>
      </c>
      <c r="AP3" s="65" t="s">
        <v>54</v>
      </c>
      <c r="AQ3" s="65" t="s">
        <v>10</v>
      </c>
      <c r="AR3" s="67" t="s">
        <v>11</v>
      </c>
      <c r="AS3" s="65" t="s">
        <v>36</v>
      </c>
      <c r="AT3" s="66" t="s">
        <v>55</v>
      </c>
      <c r="AU3" s="6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ht="34.5" thickBot="1">
      <c r="A4" s="25">
        <f>AH4</f>
        <v>0</v>
      </c>
      <c r="B4" s="167"/>
      <c r="C4" s="167"/>
      <c r="D4" s="167"/>
      <c r="E4" s="40"/>
      <c r="F4" s="13"/>
      <c r="G4" s="13"/>
      <c r="H4" s="13"/>
      <c r="I4" s="74"/>
      <c r="J4" s="11"/>
      <c r="K4" s="34"/>
      <c r="L4" s="168"/>
      <c r="M4" s="11"/>
      <c r="N4" s="151"/>
      <c r="O4" s="33"/>
      <c r="P4" s="11"/>
      <c r="Q4" s="11"/>
      <c r="R4" s="2"/>
      <c r="S4" s="9">
        <f>+B4*100</f>
        <v>0</v>
      </c>
      <c r="T4" s="9">
        <f>+C4*100</f>
        <v>0</v>
      </c>
      <c r="U4" s="26">
        <f>+D4*200</f>
        <v>0</v>
      </c>
      <c r="V4" s="70">
        <f>+E4*50</f>
        <v>0</v>
      </c>
      <c r="W4" s="39">
        <f>+F4*50</f>
        <v>0</v>
      </c>
      <c r="X4" s="39">
        <f>+G4*100</f>
        <v>0</v>
      </c>
      <c r="Y4" s="39">
        <f>+H4*200</f>
        <v>0</v>
      </c>
      <c r="Z4" s="27">
        <f>25*I4</f>
        <v>0</v>
      </c>
      <c r="AA4" s="35">
        <f>J4*50</f>
        <v>0</v>
      </c>
      <c r="AB4" s="36">
        <f>K4*100</f>
        <v>0</v>
      </c>
      <c r="AC4" s="37">
        <f>+M4*200</f>
        <v>0</v>
      </c>
      <c r="AD4" s="36">
        <f>+N4*100</f>
        <v>0</v>
      </c>
      <c r="AE4" s="69">
        <f>+O4*100</f>
        <v>0</v>
      </c>
      <c r="AF4" s="37">
        <f>100*P4</f>
        <v>0</v>
      </c>
      <c r="AG4" s="36">
        <f>200*Q4</f>
        <v>0</v>
      </c>
      <c r="AH4" s="14">
        <f>IF(AT4&gt;=AT20,AT4,IF(AS4&gt;=AS20,AS4,IF(AR4&gt;=AR20,AR4,IF(AQ4&gt;=AQ20,AQ4,IF(AP4&gt;AP20,AP4,IF(AO4&gt;=AO20,AO4,IF(AN4&gt;=AN20,AN4,IF(AM4&gt;=AM20,AM4,AH5))))))))</f>
        <v>0</v>
      </c>
      <c r="AJ4" s="83"/>
      <c r="AK4" s="16">
        <f aca="true" t="shared" si="0" ref="AK4:AT4">$S4*AK5+$U4*AK7+$W4*AK9+$Y4*AK11+$Z4*AK12+$AA4*AK13+$AB4*AK14+$AC4*AK15+$AE4*AK17+$AF4*AK18+$AG4*AK19+$X4*AK10+$AD4*AK16+AK6*$T4+AK8*$V4</f>
        <v>0</v>
      </c>
      <c r="AL4" s="16">
        <f t="shared" si="0"/>
        <v>0</v>
      </c>
      <c r="AM4" s="16">
        <f t="shared" si="0"/>
        <v>0</v>
      </c>
      <c r="AN4" s="16">
        <f t="shared" si="0"/>
        <v>0</v>
      </c>
      <c r="AO4" s="16">
        <f t="shared" si="0"/>
        <v>0</v>
      </c>
      <c r="AP4" s="16">
        <f t="shared" si="0"/>
        <v>0</v>
      </c>
      <c r="AQ4" s="16">
        <f t="shared" si="0"/>
        <v>0</v>
      </c>
      <c r="AR4" s="16">
        <f t="shared" si="0"/>
        <v>0</v>
      </c>
      <c r="AS4" s="16">
        <f t="shared" si="0"/>
        <v>0</v>
      </c>
      <c r="AT4" s="16">
        <f t="shared" si="0"/>
        <v>0</v>
      </c>
      <c r="AU4" s="16"/>
      <c r="BR4" s="4"/>
      <c r="BS4" s="4"/>
      <c r="BT4" s="4"/>
    </row>
    <row r="5" spans="1:47" ht="24" thickBot="1">
      <c r="A5" s="170" t="s">
        <v>38</v>
      </c>
      <c r="B5" s="15">
        <f>IF($A4=0,$AK5,$AU5)</f>
        <v>7.2647923039554465</v>
      </c>
      <c r="C5" s="15">
        <f>IF($A4=0,$AK6,$AU6)</f>
        <v>6.637491805257793</v>
      </c>
      <c r="D5" s="15">
        <f>IF($A4=0,$AK7,$AU7)</f>
        <v>3.319728707043198</v>
      </c>
      <c r="E5" s="15">
        <f>IF($A4=0,$AK8,$AU8)</f>
        <v>14.339970768156592</v>
      </c>
      <c r="F5" s="15">
        <f>IF($A4=0,$AK9,$AU9)</f>
        <v>12.183492581271533</v>
      </c>
      <c r="G5" s="15">
        <f>IF($A4=0,$AK10,$AU10)</f>
        <v>7.722253326462672</v>
      </c>
      <c r="H5" s="15">
        <f>IF($A4=0,$AK11,$AU11)</f>
        <v>5.432283338797958</v>
      </c>
      <c r="I5" s="15"/>
      <c r="J5" s="15">
        <f>IF($A4=0,$AK13,$AU13)</f>
        <v>11.808577960807378</v>
      </c>
      <c r="K5" s="150" t="s">
        <v>28</v>
      </c>
      <c r="L5" s="15">
        <f>IF($A4=0,$AK14,$AU14)</f>
        <v>8.766974546660022</v>
      </c>
      <c r="M5" s="15">
        <f>IF($A4=0,$AK15,$AU15)</f>
        <v>4.65028777309402</v>
      </c>
      <c r="N5" s="15">
        <f>IF($A4=0,$AK16,$AU16)</f>
        <v>3.881014680073483</v>
      </c>
      <c r="O5" s="15">
        <f>IF($A4=0,$AK17,$AU17)</f>
        <v>5.111938511172023</v>
      </c>
      <c r="P5" s="15">
        <f>IF($A4=0,$AK18,$AU18)</f>
        <v>8.56519041088226</v>
      </c>
      <c r="Q5" s="15">
        <f>IF($A4=0,$AK19,$AU19)</f>
        <v>3.881014680073483</v>
      </c>
      <c r="R5" s="2"/>
      <c r="S5" s="41"/>
      <c r="T5" s="41"/>
      <c r="U5" s="41"/>
      <c r="V5" s="41"/>
      <c r="W5" s="28"/>
      <c r="X5" s="28"/>
      <c r="Y5" s="28"/>
      <c r="Z5" s="28"/>
      <c r="AA5" s="4"/>
      <c r="AB5" s="4"/>
      <c r="AC5" s="4"/>
      <c r="AD5" s="4"/>
      <c r="AE5" s="4"/>
      <c r="AF5" s="4"/>
      <c r="AG5" s="4"/>
      <c r="AH5" s="100">
        <f>+IF(AL4&gt;=AL20,AL4,AK4)</f>
        <v>0</v>
      </c>
      <c r="AI5" s="83"/>
      <c r="AJ5" s="102" t="s">
        <v>65</v>
      </c>
      <c r="AK5" s="19">
        <v>7.2647923039554465</v>
      </c>
      <c r="AL5" s="42">
        <v>6.486421699960223</v>
      </c>
      <c r="AM5" s="19">
        <v>6.385840764000159</v>
      </c>
      <c r="AN5" s="20">
        <v>6.097236397962612</v>
      </c>
      <c r="AO5" s="42">
        <v>5.708051095964996</v>
      </c>
      <c r="AP5" s="19">
        <v>5.660177040818323</v>
      </c>
      <c r="AQ5" s="19">
        <v>5.448594227966585</v>
      </c>
      <c r="AR5" s="20">
        <v>5.1891373599681785</v>
      </c>
      <c r="AS5" s="19">
        <v>4.540495189972156</v>
      </c>
      <c r="AT5" s="21">
        <v>3.891853019976133</v>
      </c>
      <c r="AU5" s="16">
        <f>IF(AH$4=AT$4,AT5,IF(AH$4=AS$4,AS5,IF(AR$4=AH$4,AR5,IF(AQ$4=AH$4,AQ5,IF(AP$4=AH$4,AP5,IF(AO$4=AH$4,AO5,IF(AN$4=AH$4,AN5,IF(AM$4=AH$4,AM5,AL21))))))))</f>
        <v>3.891853019976133</v>
      </c>
    </row>
    <row r="6" spans="1:47" ht="38.25" customHeight="1" thickBot="1">
      <c r="A6" s="169" t="s">
        <v>37</v>
      </c>
      <c r="B6" s="155">
        <f aca="true" t="shared" si="1" ref="B6:G6">+S4*B5</f>
        <v>0</v>
      </c>
      <c r="C6" s="155">
        <f t="shared" si="1"/>
        <v>0</v>
      </c>
      <c r="D6" s="155">
        <f t="shared" si="1"/>
        <v>0</v>
      </c>
      <c r="E6" s="155">
        <f t="shared" si="1"/>
        <v>0</v>
      </c>
      <c r="F6" s="155">
        <f t="shared" si="1"/>
        <v>0</v>
      </c>
      <c r="G6" s="155">
        <f t="shared" si="1"/>
        <v>0</v>
      </c>
      <c r="H6" s="155">
        <f>+H5*Y4</f>
        <v>0</v>
      </c>
      <c r="I6" s="156"/>
      <c r="J6" s="157">
        <f>+J5*AA4</f>
        <v>0</v>
      </c>
      <c r="K6" s="173">
        <f>+L5*AB4</f>
        <v>0</v>
      </c>
      <c r="L6" s="174"/>
      <c r="M6" s="158">
        <f>+M5*AC4</f>
        <v>0</v>
      </c>
      <c r="N6" s="159">
        <f>+N5*AD4</f>
        <v>0</v>
      </c>
      <c r="O6" s="157">
        <f>+O5*AE4</f>
        <v>0</v>
      </c>
      <c r="P6" s="156">
        <f>+P5*AF4</f>
        <v>0</v>
      </c>
      <c r="Q6" s="160">
        <f>+Q5*AG4</f>
        <v>0</v>
      </c>
      <c r="R6" s="2"/>
      <c r="S6" s="41"/>
      <c r="T6" s="4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0"/>
      <c r="AJ6" s="101" t="s">
        <v>66</v>
      </c>
      <c r="AK6" s="19">
        <v>6.637491805257793</v>
      </c>
      <c r="AL6" s="19">
        <v>5.246607952166823</v>
      </c>
      <c r="AM6" s="19">
        <v>5.064480942877124</v>
      </c>
      <c r="AN6" s="19">
        <v>4.596697777943764</v>
      </c>
      <c r="AO6" s="19">
        <v>4.311041622300109</v>
      </c>
      <c r="AP6" s="19">
        <v>4.2199781176552555</v>
      </c>
      <c r="AQ6" s="19">
        <v>4.0265052304046565</v>
      </c>
      <c r="AR6" s="19">
        <v>3.778394240367146</v>
      </c>
      <c r="AS6" s="19">
        <v>3.449596994978847</v>
      </c>
      <c r="AT6" s="19">
        <v>3.0484874986453074</v>
      </c>
      <c r="AU6" s="16">
        <f aca="true" t="shared" si="2" ref="AU6:AU19">+IF(AH$4=AT$4,AT6,IF(AH$4=AS$4,AS6,IF(AR$4=AH$4,AR6,IF(AQ$4=AH$4,AQ6,IF(AP$4=AH$4,AP6,IF(AO$4=AH$4,AO6,IF(AN$4=AH$4,AN6,IF(AM$4=AH$4,AM6,AL22))))))))</f>
        <v>3.0484874986453074</v>
      </c>
    </row>
    <row r="7" spans="1:47" ht="60.75" customHeight="1" thickBot="1">
      <c r="A7" s="201" t="s">
        <v>155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  <c r="R7" s="2"/>
      <c r="S7" s="2"/>
      <c r="T7" s="2"/>
      <c r="U7" s="2"/>
      <c r="V7" s="2"/>
      <c r="Z7" s="4"/>
      <c r="AA7" s="4"/>
      <c r="AB7" s="4"/>
      <c r="AC7" s="4"/>
      <c r="AD7" s="4"/>
      <c r="AE7" s="4"/>
      <c r="AF7" s="4"/>
      <c r="AG7" s="4"/>
      <c r="AH7" s="4"/>
      <c r="AI7" s="1"/>
      <c r="AJ7" s="104" t="s">
        <v>52</v>
      </c>
      <c r="AK7" s="19">
        <v>3.319728707043198</v>
      </c>
      <c r="AL7" s="42">
        <v>3.3327407268804063</v>
      </c>
      <c r="AM7" s="19">
        <v>3.0297642971640055</v>
      </c>
      <c r="AN7" s="20">
        <v>2.5752996525894063</v>
      </c>
      <c r="AO7" s="42">
        <v>2.535065558105713</v>
      </c>
      <c r="AP7" s="19">
        <v>2.4143481505768714</v>
      </c>
      <c r="AQ7" s="19">
        <v>2.3539894468124483</v>
      </c>
      <c r="AR7" s="20">
        <v>2.293630743048027</v>
      </c>
      <c r="AS7" s="19">
        <v>2.172913335519183</v>
      </c>
      <c r="AT7" s="21">
        <v>1.9918372242259188</v>
      </c>
      <c r="AU7" s="16">
        <f t="shared" si="2"/>
        <v>1.9918372242259188</v>
      </c>
    </row>
    <row r="8" spans="1:47" ht="76.5" customHeight="1" thickBot="1">
      <c r="A8" s="181" t="s">
        <v>141</v>
      </c>
      <c r="B8" s="182"/>
      <c r="C8" s="182"/>
      <c r="D8" s="182"/>
      <c r="E8" s="182"/>
      <c r="F8" s="172">
        <f>+(A4-Q6/2)/600</f>
        <v>0</v>
      </c>
      <c r="G8" s="204" t="s">
        <v>156</v>
      </c>
      <c r="H8" s="205"/>
      <c r="I8" s="205"/>
      <c r="J8" s="205"/>
      <c r="K8" s="205"/>
      <c r="L8" s="205"/>
      <c r="M8" s="205"/>
      <c r="N8" s="205"/>
      <c r="O8" s="205"/>
      <c r="P8" s="206"/>
      <c r="Q8" s="2"/>
      <c r="R8" s="2"/>
      <c r="S8" s="8"/>
      <c r="T8" s="8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0"/>
      <c r="AJ8" s="101" t="s">
        <v>64</v>
      </c>
      <c r="AK8" s="19">
        <v>14.339970768156592</v>
      </c>
      <c r="AL8" s="19">
        <v>13.667784638399256</v>
      </c>
      <c r="AM8" s="19">
        <v>12.995598508641923</v>
      </c>
      <c r="AN8" s="19">
        <v>12.771536465389467</v>
      </c>
      <c r="AO8" s="19">
        <v>11.875288292379684</v>
      </c>
      <c r="AP8" s="19">
        <v>11.651226249127241</v>
      </c>
      <c r="AQ8" s="19">
        <v>11.203102162622336</v>
      </c>
      <c r="AR8" s="19">
        <v>10.306853989612554</v>
      </c>
      <c r="AS8" s="19">
        <v>10.159292124545702</v>
      </c>
      <c r="AT8" s="19">
        <v>9.703686863140492</v>
      </c>
      <c r="AU8" s="16">
        <f t="shared" si="2"/>
        <v>9.703686863140492</v>
      </c>
    </row>
    <row r="9" spans="1:47" ht="55.5" customHeight="1" thickBot="1">
      <c r="A9" s="140" t="s">
        <v>14</v>
      </c>
      <c r="B9" s="223"/>
      <c r="C9" s="224"/>
      <c r="D9" s="224"/>
      <c r="E9" s="224"/>
      <c r="F9" s="224"/>
      <c r="G9" s="224"/>
      <c r="H9" s="224"/>
      <c r="I9" s="225"/>
      <c r="K9" s="221" t="s">
        <v>16</v>
      </c>
      <c r="L9" s="222"/>
      <c r="M9" s="152" t="s">
        <v>44</v>
      </c>
      <c r="N9" s="153" t="s">
        <v>42</v>
      </c>
      <c r="O9" s="154" t="s">
        <v>56</v>
      </c>
      <c r="P9" s="2"/>
      <c r="Q9" s="2"/>
      <c r="R9" s="2"/>
      <c r="S9" s="8"/>
      <c r="T9" s="8"/>
      <c r="AI9" s="1"/>
      <c r="AJ9" s="104" t="s">
        <v>63</v>
      </c>
      <c r="AK9" s="19">
        <v>12.183492581271533</v>
      </c>
      <c r="AL9" s="42">
        <v>11.612391366524422</v>
      </c>
      <c r="AM9" s="19">
        <v>11.041290151777325</v>
      </c>
      <c r="AN9" s="20">
        <v>10.850923080194956</v>
      </c>
      <c r="AO9" s="42">
        <v>10.089454793865485</v>
      </c>
      <c r="AP9" s="19">
        <v>9.89908772228312</v>
      </c>
      <c r="AQ9" s="19">
        <v>9.518353579118383</v>
      </c>
      <c r="AR9" s="20">
        <v>8.756885292788914</v>
      </c>
      <c r="AS9" s="19">
        <v>8.477379943713034</v>
      </c>
      <c r="AT9" s="21">
        <v>8.244423842940096</v>
      </c>
      <c r="AU9" s="16">
        <f t="shared" si="2"/>
        <v>8.244423842940096</v>
      </c>
    </row>
    <row r="10" spans="1:47" ht="18.75" customHeight="1" thickBot="1">
      <c r="A10" s="141" t="s">
        <v>69</v>
      </c>
      <c r="B10" s="192"/>
      <c r="C10" s="193"/>
      <c r="D10" s="193"/>
      <c r="E10" s="193"/>
      <c r="F10" s="193"/>
      <c r="G10" s="193"/>
      <c r="H10" s="193"/>
      <c r="I10" s="194"/>
      <c r="K10" s="123"/>
      <c r="L10" s="124" t="s">
        <v>127</v>
      </c>
      <c r="M10" s="92">
        <f>+AK5</f>
        <v>7.2647923039554465</v>
      </c>
      <c r="N10" s="93">
        <f>+AT5</f>
        <v>3.891853019976133</v>
      </c>
      <c r="O10" s="94">
        <f>+(M10-N10)/M10</f>
        <v>0.46428571428571414</v>
      </c>
      <c r="P10" s="2"/>
      <c r="Q10" s="2"/>
      <c r="R10" s="2"/>
      <c r="S10" s="8"/>
      <c r="T10" s="8"/>
      <c r="AI10" s="10"/>
      <c r="AJ10" s="106" t="s">
        <v>57</v>
      </c>
      <c r="AK10" s="19">
        <v>7.722253326462672</v>
      </c>
      <c r="AL10" s="42">
        <v>7.315818940859377</v>
      </c>
      <c r="AM10" s="19">
        <v>7.153245186618057</v>
      </c>
      <c r="AN10" s="20">
        <v>6.99067143237674</v>
      </c>
      <c r="AO10" s="42">
        <v>6.828097678135421</v>
      </c>
      <c r="AP10" s="19">
        <v>6.17780266117014</v>
      </c>
      <c r="AQ10" s="19">
        <v>6.145287910321879</v>
      </c>
      <c r="AR10" s="20">
        <v>5.974585468368488</v>
      </c>
      <c r="AS10" s="19">
        <v>5.803883026415107</v>
      </c>
      <c r="AT10" s="21">
        <v>5.690081398446181</v>
      </c>
      <c r="AU10" s="16">
        <f t="shared" si="2"/>
        <v>5.690081398446181</v>
      </c>
    </row>
    <row r="11" spans="1:47" ht="26.25" customHeight="1" thickBot="1">
      <c r="A11" s="142" t="s">
        <v>12</v>
      </c>
      <c r="B11" s="195"/>
      <c r="C11" s="196"/>
      <c r="D11" s="196"/>
      <c r="E11" s="196"/>
      <c r="F11" s="196"/>
      <c r="G11" s="196"/>
      <c r="H11" s="196"/>
      <c r="I11" s="197"/>
      <c r="K11" s="86"/>
      <c r="L11" s="87" t="s">
        <v>71</v>
      </c>
      <c r="M11" s="92">
        <f>+AK6</f>
        <v>6.637491805257793</v>
      </c>
      <c r="N11" s="93">
        <f>+AT6</f>
        <v>3.0484874986453074</v>
      </c>
      <c r="O11" s="94">
        <f aca="true" t="shared" si="3" ref="O11:O23">+(M11-N11)/M11</f>
        <v>0.5407169472916724</v>
      </c>
      <c r="P11" s="2"/>
      <c r="Q11" s="2"/>
      <c r="R11" s="2"/>
      <c r="S11" s="8"/>
      <c r="T11" s="8"/>
      <c r="AI11" s="103"/>
      <c r="AJ11" s="105" t="s">
        <v>49</v>
      </c>
      <c r="AK11" s="21">
        <v>5.432283338797958</v>
      </c>
      <c r="AL11" s="42">
        <v>4.285467967273946</v>
      </c>
      <c r="AM11" s="19">
        <v>3.9859521353863423</v>
      </c>
      <c r="AN11" s="20">
        <v>3.815125615298358</v>
      </c>
      <c r="AO11" s="42">
        <v>3.7012412685730336</v>
      </c>
      <c r="AP11" s="19">
        <v>3.4165304017597222</v>
      </c>
      <c r="AQ11" s="19">
        <v>3.1887617083090745</v>
      </c>
      <c r="AR11" s="20">
        <v>2.960993014858426</v>
      </c>
      <c r="AS11" s="19">
        <v>2.8471086681331017</v>
      </c>
      <c r="AT11" s="21">
        <v>2.6762821480451158</v>
      </c>
      <c r="AU11" s="16">
        <f t="shared" si="2"/>
        <v>2.6762821480451158</v>
      </c>
    </row>
    <row r="12" spans="1:47" ht="48.75" customHeight="1" thickBot="1">
      <c r="A12" s="143" t="s">
        <v>48</v>
      </c>
      <c r="B12" s="198"/>
      <c r="C12" s="199"/>
      <c r="D12" s="199"/>
      <c r="E12" s="199"/>
      <c r="F12" s="199"/>
      <c r="G12" s="199"/>
      <c r="H12" s="199"/>
      <c r="I12" s="200"/>
      <c r="K12" s="88"/>
      <c r="L12" s="90" t="s">
        <v>47</v>
      </c>
      <c r="M12" s="92">
        <f aca="true" t="shared" si="4" ref="M12:M20">+AK7</f>
        <v>3.319728707043198</v>
      </c>
      <c r="N12" s="93">
        <f aca="true" t="shared" si="5" ref="N12:N20">+AT7</f>
        <v>1.9918372242259188</v>
      </c>
      <c r="O12" s="94">
        <f t="shared" si="3"/>
        <v>0.39999999999999997</v>
      </c>
      <c r="P12" s="2"/>
      <c r="Q12" s="2"/>
      <c r="R12" s="2"/>
      <c r="S12" s="8"/>
      <c r="T12" s="8"/>
      <c r="AJ12" s="95" t="s">
        <v>33</v>
      </c>
      <c r="AK12" s="19">
        <v>11.80245543704941</v>
      </c>
      <c r="AL12" s="42">
        <v>10.247113106485742</v>
      </c>
      <c r="AM12" s="43">
        <v>9.56397223272002</v>
      </c>
      <c r="AN12" s="20">
        <v>8.978422912349414</v>
      </c>
      <c r="AO12" s="42">
        <v>8.910964946291841</v>
      </c>
      <c r="AP12" s="19">
        <v>8.839677226721506</v>
      </c>
      <c r="AQ12" s="19">
        <v>8.768389507151175</v>
      </c>
      <c r="AR12" s="20">
        <v>8.69710178758084</v>
      </c>
      <c r="AS12" s="19">
        <v>8.625814068010502</v>
      </c>
      <c r="AT12" s="21">
        <v>8.554526348440167</v>
      </c>
      <c r="AU12" s="16">
        <f t="shared" si="2"/>
        <v>8.554526348440167</v>
      </c>
    </row>
    <row r="13" spans="1:47" ht="39.75" thickBot="1">
      <c r="A13" s="141" t="s">
        <v>13</v>
      </c>
      <c r="B13" s="218"/>
      <c r="C13" s="219"/>
      <c r="D13" s="219"/>
      <c r="E13" s="219"/>
      <c r="F13" s="219"/>
      <c r="G13" s="219"/>
      <c r="H13" s="219"/>
      <c r="I13" s="220"/>
      <c r="K13" s="86"/>
      <c r="L13" s="87" t="s">
        <v>126</v>
      </c>
      <c r="M13" s="92">
        <f t="shared" si="4"/>
        <v>14.339970768156592</v>
      </c>
      <c r="N13" s="93">
        <f t="shared" si="5"/>
        <v>9.703686863140492</v>
      </c>
      <c r="O13" s="94">
        <f t="shared" si="3"/>
        <v>0.3233119495132762</v>
      </c>
      <c r="P13" s="2"/>
      <c r="Q13" s="2"/>
      <c r="R13" s="2"/>
      <c r="S13" s="8"/>
      <c r="T13" s="8"/>
      <c r="AJ13" s="96" t="s">
        <v>21</v>
      </c>
      <c r="AK13" s="44">
        <v>11.808577960807378</v>
      </c>
      <c r="AL13" s="42">
        <v>9.4826459382241</v>
      </c>
      <c r="AM13" s="19">
        <v>9.303728090333086</v>
      </c>
      <c r="AN13" s="20">
        <v>8.051303155095939</v>
      </c>
      <c r="AO13" s="42">
        <v>7.693467459313897</v>
      </c>
      <c r="AP13" s="19">
        <v>7.335631763531859</v>
      </c>
      <c r="AQ13" s="19">
        <v>6.798878219858796</v>
      </c>
      <c r="AR13" s="20">
        <v>6.459807350540496</v>
      </c>
      <c r="AS13" s="19">
        <v>6.399660960000003</v>
      </c>
      <c r="AT13" s="21">
        <v>6.399660960000003</v>
      </c>
      <c r="AU13" s="16">
        <f t="shared" si="2"/>
        <v>6.399660960000003</v>
      </c>
    </row>
    <row r="14" spans="1:47" ht="24" thickBot="1">
      <c r="A14" s="144" t="s">
        <v>15</v>
      </c>
      <c r="B14" s="195"/>
      <c r="C14" s="196"/>
      <c r="D14" s="196"/>
      <c r="E14" s="196"/>
      <c r="F14" s="196"/>
      <c r="G14" s="196"/>
      <c r="H14" s="196"/>
      <c r="I14" s="197"/>
      <c r="K14" s="88"/>
      <c r="L14" s="90" t="s">
        <v>72</v>
      </c>
      <c r="M14" s="92">
        <f t="shared" si="4"/>
        <v>12.183492581271533</v>
      </c>
      <c r="N14" s="93">
        <f t="shared" si="5"/>
        <v>8.244423842940096</v>
      </c>
      <c r="O14" s="94">
        <f t="shared" si="3"/>
        <v>0.32331194951327624</v>
      </c>
      <c r="P14" s="2"/>
      <c r="Q14" s="2"/>
      <c r="R14" s="2"/>
      <c r="S14" s="8"/>
      <c r="T14" s="8"/>
      <c r="U14" s="2"/>
      <c r="V14" s="2"/>
      <c r="AJ14" s="97" t="s">
        <v>22</v>
      </c>
      <c r="AK14" s="45">
        <v>8.766974546660022</v>
      </c>
      <c r="AL14" s="22">
        <v>6.977796067749816</v>
      </c>
      <c r="AM14" s="46">
        <v>5.546453284621647</v>
      </c>
      <c r="AN14" s="47">
        <v>5.367535436730623</v>
      </c>
      <c r="AO14" s="22">
        <v>4.741322969112052</v>
      </c>
      <c r="AP14" s="46">
        <v>4.651864045166543</v>
      </c>
      <c r="AQ14" s="46">
        <v>4.472946197275521</v>
      </c>
      <c r="AR14" s="47">
        <v>4.294028349384503</v>
      </c>
      <c r="AS14" s="46">
        <v>4.11511050149348</v>
      </c>
      <c r="AT14" s="48">
        <v>3.9361926536024585</v>
      </c>
      <c r="AU14" s="16">
        <f t="shared" si="2"/>
        <v>3.9361926536024585</v>
      </c>
    </row>
    <row r="15" spans="1:47" ht="20.25" customHeight="1" thickBot="1">
      <c r="A15" s="1"/>
      <c r="B15" s="2"/>
      <c r="C15" s="2"/>
      <c r="D15" s="2"/>
      <c r="E15" s="2"/>
      <c r="F15" s="2"/>
      <c r="G15" s="2"/>
      <c r="H15" s="2"/>
      <c r="K15" s="88"/>
      <c r="L15" s="90" t="s">
        <v>73</v>
      </c>
      <c r="M15" s="92">
        <f t="shared" si="4"/>
        <v>7.722253326462672</v>
      </c>
      <c r="N15" s="93">
        <f t="shared" si="5"/>
        <v>5.690081398446181</v>
      </c>
      <c r="O15" s="94">
        <f t="shared" si="3"/>
        <v>0.2631578947368419</v>
      </c>
      <c r="P15" s="2"/>
      <c r="Q15" s="2"/>
      <c r="R15" s="2"/>
      <c r="S15" s="8"/>
      <c r="T15" s="8"/>
      <c r="U15" s="2"/>
      <c r="V15" s="2"/>
      <c r="AJ15" s="96" t="s">
        <v>3</v>
      </c>
      <c r="AK15" s="44">
        <v>4.65028777309402</v>
      </c>
      <c r="AL15" s="42">
        <v>3.3714586354931657</v>
      </c>
      <c r="AM15" s="19">
        <v>3.069189930242055</v>
      </c>
      <c r="AN15" s="20">
        <v>2.6855411889617957</v>
      </c>
      <c r="AO15" s="23">
        <v>2.4297753614416275</v>
      </c>
      <c r="AP15" s="17">
        <v>2.316340379352509</v>
      </c>
      <c r="AQ15" s="19">
        <v>2.2246440480000014</v>
      </c>
      <c r="AR15" s="20">
        <v>2.2246440480000014</v>
      </c>
      <c r="AS15" s="19">
        <v>2.2246440480000014</v>
      </c>
      <c r="AT15" s="21">
        <v>2.2246440480000014</v>
      </c>
      <c r="AU15" s="16">
        <f t="shared" si="2"/>
        <v>2.2246440480000014</v>
      </c>
    </row>
    <row r="16" spans="1:47" ht="18" customHeight="1" thickBot="1">
      <c r="A16" s="183" t="s">
        <v>43</v>
      </c>
      <c r="B16" s="184"/>
      <c r="C16" s="184"/>
      <c r="D16" s="184"/>
      <c r="E16" s="184"/>
      <c r="F16" s="184"/>
      <c r="G16" s="184"/>
      <c r="H16" s="184"/>
      <c r="I16" s="185"/>
      <c r="K16" s="88"/>
      <c r="L16" s="87" t="s">
        <v>53</v>
      </c>
      <c r="M16" s="92">
        <f t="shared" si="4"/>
        <v>5.432283338797958</v>
      </c>
      <c r="N16" s="93">
        <f t="shared" si="5"/>
        <v>2.6762821480451158</v>
      </c>
      <c r="O16" s="94">
        <f t="shared" si="3"/>
        <v>0.5073375262054507</v>
      </c>
      <c r="P16" s="2"/>
      <c r="Q16" s="2"/>
      <c r="R16" s="2"/>
      <c r="S16" s="8"/>
      <c r="T16" s="8"/>
      <c r="U16" s="2"/>
      <c r="V16" s="2"/>
      <c r="AJ16" s="96" t="s">
        <v>59</v>
      </c>
      <c r="AK16" s="44">
        <v>3.881014680073483</v>
      </c>
      <c r="AL16" s="44">
        <v>3.616400042795747</v>
      </c>
      <c r="AM16" s="44">
        <v>3.4399902846105883</v>
      </c>
      <c r="AN16" s="44">
        <v>3.2635805264254283</v>
      </c>
      <c r="AO16" s="44">
        <v>2.9989658891476916</v>
      </c>
      <c r="AP16" s="44">
        <v>2.8225561309625347</v>
      </c>
      <c r="AQ16" s="44">
        <v>2.6461463727773764</v>
      </c>
      <c r="AR16" s="44">
        <v>2.4697366145922164</v>
      </c>
      <c r="AS16" s="44">
        <v>2.293326856407058</v>
      </c>
      <c r="AT16" s="44">
        <v>2.0767316899894657</v>
      </c>
      <c r="AU16" s="16">
        <f t="shared" si="2"/>
        <v>2.0767316899894657</v>
      </c>
    </row>
    <row r="17" spans="1:47" ht="115.5" thickBot="1">
      <c r="A17" s="186"/>
      <c r="B17" s="187"/>
      <c r="C17" s="187"/>
      <c r="D17" s="187"/>
      <c r="E17" s="187"/>
      <c r="F17" s="187"/>
      <c r="G17" s="187"/>
      <c r="H17" s="187"/>
      <c r="I17" s="188"/>
      <c r="K17" s="88"/>
      <c r="L17" s="89" t="s">
        <v>34</v>
      </c>
      <c r="M17" s="92">
        <f t="shared" si="4"/>
        <v>11.80245543704941</v>
      </c>
      <c r="N17" s="93">
        <f t="shared" si="5"/>
        <v>8.554526348440167</v>
      </c>
      <c r="O17" s="94">
        <f t="shared" si="3"/>
        <v>0.2751909639424336</v>
      </c>
      <c r="P17" s="2"/>
      <c r="Q17" s="2"/>
      <c r="R17" s="2"/>
      <c r="S17" s="8"/>
      <c r="T17" s="8"/>
      <c r="U17" s="2"/>
      <c r="V17" s="2"/>
      <c r="AJ17" s="97" t="s">
        <v>23</v>
      </c>
      <c r="AK17" s="45">
        <v>5.111938511172023</v>
      </c>
      <c r="AL17" s="22">
        <v>3.6310756401747857</v>
      </c>
      <c r="AM17" s="46">
        <v>3.5643859785167376</v>
      </c>
      <c r="AN17" s="47">
        <v>3.4218105393760676</v>
      </c>
      <c r="AO17" s="22">
        <v>3.2792351002354</v>
      </c>
      <c r="AP17" s="49">
        <v>3.065371941524393</v>
      </c>
      <c r="AQ17" s="46">
        <v>2.922796502383723</v>
      </c>
      <c r="AR17" s="47">
        <v>2.7802210632430544</v>
      </c>
      <c r="AS17" s="46">
        <v>2.637645624102386</v>
      </c>
      <c r="AT17" s="48">
        <v>2.495070184961715</v>
      </c>
      <c r="AU17" s="16">
        <f t="shared" si="2"/>
        <v>2.495070184961715</v>
      </c>
    </row>
    <row r="18" spans="1:47" ht="18.75" thickBot="1">
      <c r="A18" s="2"/>
      <c r="B18" s="2"/>
      <c r="C18" s="2"/>
      <c r="D18" s="3"/>
      <c r="E18" s="3"/>
      <c r="F18" s="3"/>
      <c r="G18" s="3"/>
      <c r="H18" s="3"/>
      <c r="I18" s="3"/>
      <c r="K18" s="88"/>
      <c r="L18" s="87" t="s">
        <v>17</v>
      </c>
      <c r="M18" s="92">
        <f t="shared" si="4"/>
        <v>11.808577960807378</v>
      </c>
      <c r="N18" s="93">
        <f t="shared" si="5"/>
        <v>6.399660960000003</v>
      </c>
      <c r="O18" s="94">
        <f t="shared" si="3"/>
        <v>0.45804981927201976</v>
      </c>
      <c r="P18" s="2"/>
      <c r="Q18" s="2"/>
      <c r="R18" s="2"/>
      <c r="S18" s="8"/>
      <c r="T18" s="8"/>
      <c r="U18" s="2"/>
      <c r="V18" s="2"/>
      <c r="AJ18" s="96" t="s">
        <v>25</v>
      </c>
      <c r="AK18" s="44">
        <v>8.56519041088226</v>
      </c>
      <c r="AL18" s="50">
        <v>7.956565220985652</v>
      </c>
      <c r="AM18" s="51">
        <v>7.341591780756218</v>
      </c>
      <c r="AN18" s="52">
        <v>6.852152328705811</v>
      </c>
      <c r="AO18" s="24">
        <v>6.607432602680599</v>
      </c>
      <c r="AP18" s="18">
        <v>6.117993150630187</v>
      </c>
      <c r="AQ18" s="18">
        <v>6.023008902409238</v>
      </c>
      <c r="AR18" s="52">
        <v>5.873273424604975</v>
      </c>
      <c r="AS18" s="18">
        <v>5.62855369857977</v>
      </c>
      <c r="AT18" s="53">
        <v>5.383833972554565</v>
      </c>
      <c r="AU18" s="16">
        <f t="shared" si="2"/>
        <v>5.383833972554565</v>
      </c>
    </row>
    <row r="19" spans="1:47" ht="18.75" thickBot="1">
      <c r="A19" s="77"/>
      <c r="B19" s="2"/>
      <c r="C19" s="2"/>
      <c r="D19" s="3"/>
      <c r="E19" s="3"/>
      <c r="F19" s="3"/>
      <c r="G19" s="3"/>
      <c r="H19" s="3"/>
      <c r="I19" s="3"/>
      <c r="K19" s="88"/>
      <c r="L19" s="87" t="s">
        <v>18</v>
      </c>
      <c r="M19" s="92">
        <f t="shared" si="4"/>
        <v>8.766974546660022</v>
      </c>
      <c r="N19" s="93">
        <f t="shared" si="5"/>
        <v>3.9361926536024585</v>
      </c>
      <c r="O19" s="94">
        <f t="shared" si="3"/>
        <v>0.5510204081632654</v>
      </c>
      <c r="P19" s="2"/>
      <c r="Q19" s="2"/>
      <c r="R19" s="2"/>
      <c r="S19" s="8"/>
      <c r="T19" s="8"/>
      <c r="U19" s="2"/>
      <c r="V19" s="2"/>
      <c r="AJ19" s="98" t="s">
        <v>29</v>
      </c>
      <c r="AK19" s="54">
        <v>3.881014680073483</v>
      </c>
      <c r="AL19" s="55">
        <v>3.616400042795747</v>
      </c>
      <c r="AM19" s="56">
        <v>3.4399902846105883</v>
      </c>
      <c r="AN19" s="57">
        <v>3.2635805264254283</v>
      </c>
      <c r="AO19" s="58">
        <v>2.9989658891476916</v>
      </c>
      <c r="AP19" s="56">
        <v>2.8225561309625347</v>
      </c>
      <c r="AQ19" s="56">
        <v>2.6461463727773764</v>
      </c>
      <c r="AR19" s="57">
        <v>2.4697366145922164</v>
      </c>
      <c r="AS19" s="56">
        <v>2.293326856407058</v>
      </c>
      <c r="AT19" s="59">
        <v>2.0767316899894657</v>
      </c>
      <c r="AU19" s="16">
        <f t="shared" si="2"/>
        <v>2.0767316899894657</v>
      </c>
    </row>
    <row r="20" spans="1:47" ht="24" thickBot="1">
      <c r="A20" s="78"/>
      <c r="B20" s="79"/>
      <c r="C20" s="79"/>
      <c r="D20" s="2"/>
      <c r="E20" s="2"/>
      <c r="F20" s="2"/>
      <c r="G20" s="2"/>
      <c r="H20" s="2"/>
      <c r="I20" s="2"/>
      <c r="K20" s="88"/>
      <c r="L20" s="90" t="s">
        <v>19</v>
      </c>
      <c r="M20" s="92">
        <f t="shared" si="4"/>
        <v>4.65028777309402</v>
      </c>
      <c r="N20" s="93">
        <f t="shared" si="5"/>
        <v>2.2246440480000014</v>
      </c>
      <c r="O20" s="94">
        <f t="shared" si="3"/>
        <v>0.5216115310386785</v>
      </c>
      <c r="P20" s="2"/>
      <c r="Q20" s="2"/>
      <c r="R20" s="2"/>
      <c r="S20" s="8"/>
      <c r="T20" s="8"/>
      <c r="U20" s="2"/>
      <c r="V20" s="2"/>
      <c r="AJ20" s="99" t="s">
        <v>31</v>
      </c>
      <c r="AK20" s="18">
        <v>0</v>
      </c>
      <c r="AL20" s="18">
        <v>821.3787682695204</v>
      </c>
      <c r="AM20" s="148">
        <v>1223.5986301260375</v>
      </c>
      <c r="AN20" s="52">
        <v>1708.4207288552218</v>
      </c>
      <c r="AO20" s="50">
        <v>2147.0692943721033</v>
      </c>
      <c r="AP20" s="51">
        <v>2608.804626495135</v>
      </c>
      <c r="AQ20" s="51">
        <v>3278.3208580735336</v>
      </c>
      <c r="AR20" s="149">
        <v>3532.2752907412028</v>
      </c>
      <c r="AS20" s="51">
        <v>4155.617989107295</v>
      </c>
      <c r="AT20" s="53">
        <v>4709.7003876549325</v>
      </c>
      <c r="AU20" s="60"/>
    </row>
    <row r="21" spans="1:38" ht="27" customHeight="1" thickBot="1">
      <c r="A21" s="80"/>
      <c r="B21" s="3"/>
      <c r="C21" s="3"/>
      <c r="D21" s="3"/>
      <c r="E21" s="3"/>
      <c r="F21" s="3"/>
      <c r="G21" s="3"/>
      <c r="H21" s="3"/>
      <c r="I21" s="3"/>
      <c r="J21" s="2"/>
      <c r="K21" s="1"/>
      <c r="L21" s="90" t="s">
        <v>46</v>
      </c>
      <c r="M21" s="92">
        <f>+AK17</f>
        <v>5.111938511172023</v>
      </c>
      <c r="N21" s="93">
        <f>+AT17</f>
        <v>2.495070184961715</v>
      </c>
      <c r="O21" s="94">
        <f t="shared" si="3"/>
        <v>0.5119131070319416</v>
      </c>
      <c r="P21" s="2"/>
      <c r="Q21" s="2"/>
      <c r="R21" s="2"/>
      <c r="S21" s="8"/>
      <c r="T21" s="8"/>
      <c r="U21" s="8"/>
      <c r="V21" s="8"/>
      <c r="AL21" s="68">
        <f aca="true" t="shared" si="6" ref="AL21:AL35">+IF(AH$4=AL$4,AL5,AK5)</f>
        <v>6.486421699960223</v>
      </c>
    </row>
    <row r="22" spans="1:38" ht="21" thickBot="1">
      <c r="A22" s="137" t="s">
        <v>128</v>
      </c>
      <c r="B22" s="138"/>
      <c r="C22" s="138"/>
      <c r="D22" s="139"/>
      <c r="E22" s="139"/>
      <c r="F22" s="139"/>
      <c r="G22" s="139"/>
      <c r="H22" s="139"/>
      <c r="I22" s="139"/>
      <c r="J22" s="139"/>
      <c r="K22" s="1"/>
      <c r="L22" s="87" t="s">
        <v>25</v>
      </c>
      <c r="M22" s="92">
        <f>+AK18</f>
        <v>8.56519041088226</v>
      </c>
      <c r="N22" s="93">
        <f>+AT18</f>
        <v>5.383833972554565</v>
      </c>
      <c r="O22" s="94">
        <f t="shared" si="3"/>
        <v>0.37142857142857116</v>
      </c>
      <c r="P22" s="2"/>
      <c r="Q22" s="2"/>
      <c r="R22" s="2"/>
      <c r="S22" s="8"/>
      <c r="T22" s="8"/>
      <c r="U22" s="8"/>
      <c r="V22" s="8"/>
      <c r="AL22" s="68">
        <f t="shared" si="6"/>
        <v>5.246607952166823</v>
      </c>
    </row>
    <row r="23" spans="1:38" ht="24" thickBot="1">
      <c r="A23" s="78"/>
      <c r="B23" s="2"/>
      <c r="C23" s="2"/>
      <c r="D23" s="2"/>
      <c r="E23" s="2"/>
      <c r="F23" s="2"/>
      <c r="G23" s="2"/>
      <c r="H23" s="2"/>
      <c r="I23" s="2"/>
      <c r="J23" s="2"/>
      <c r="K23" s="103"/>
      <c r="L23" s="91" t="s">
        <v>70</v>
      </c>
      <c r="M23" s="92">
        <f>+AK19</f>
        <v>3.881014680073483</v>
      </c>
      <c r="N23" s="93">
        <f>+AT19</f>
        <v>2.0767316899894657</v>
      </c>
      <c r="O23" s="94">
        <f t="shared" si="3"/>
        <v>0.464899810698437</v>
      </c>
      <c r="P23" s="2"/>
      <c r="Q23" s="2"/>
      <c r="R23" s="2"/>
      <c r="S23" s="8"/>
      <c r="T23" s="8"/>
      <c r="U23" s="8"/>
      <c r="V23" s="8"/>
      <c r="AL23" s="68">
        <f t="shared" si="6"/>
        <v>3.3327407268804063</v>
      </c>
    </row>
    <row r="24" spans="1:38" ht="13.5" customHeight="1" thickBot="1">
      <c r="A24" s="78"/>
      <c r="B24" s="2"/>
      <c r="C24" s="2"/>
      <c r="D24" s="2"/>
      <c r="E24" s="2"/>
      <c r="F24" s="2"/>
      <c r="G24" s="2"/>
      <c r="H24" s="2"/>
      <c r="I24" s="2"/>
      <c r="J24" s="2"/>
      <c r="K24" s="2"/>
      <c r="L24" s="85"/>
      <c r="M24" s="135"/>
      <c r="N24" s="135"/>
      <c r="O24" s="136"/>
      <c r="P24" s="2"/>
      <c r="Q24" s="2"/>
      <c r="R24" s="2"/>
      <c r="S24" s="2"/>
      <c r="T24" s="2"/>
      <c r="U24" s="2"/>
      <c r="V24" s="2"/>
      <c r="AL24" s="68">
        <f t="shared" si="6"/>
        <v>13.667784638399256</v>
      </c>
    </row>
    <row r="25" spans="1:38" ht="19.5" customHeight="1" thickBot="1">
      <c r="A25" s="207" t="s">
        <v>68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9"/>
      <c r="P25" s="2"/>
      <c r="Q25" s="2"/>
      <c r="R25" s="2"/>
      <c r="S25" s="2"/>
      <c r="T25" s="2"/>
      <c r="U25" s="2"/>
      <c r="V25" s="2"/>
      <c r="AL25" s="68">
        <f t="shared" si="6"/>
        <v>11.612391366524422</v>
      </c>
    </row>
    <row r="26" spans="1:38" ht="24" customHeight="1" thickBot="1">
      <c r="A26" s="210"/>
      <c r="B26" s="211"/>
      <c r="C26" s="211"/>
      <c r="D26" s="211"/>
      <c r="E26" s="211"/>
      <c r="F26" s="211"/>
      <c r="G26" s="211"/>
      <c r="H26" s="211"/>
      <c r="I26" s="211"/>
      <c r="J26" s="211"/>
      <c r="K26" s="212"/>
      <c r="L26" s="2"/>
      <c r="M26" s="2"/>
      <c r="N26" s="2"/>
      <c r="O26" s="2"/>
      <c r="P26" s="2"/>
      <c r="Q26" s="2"/>
      <c r="R26" s="2"/>
      <c r="AL26" s="68">
        <f t="shared" si="6"/>
        <v>7.315818940859377</v>
      </c>
    </row>
    <row r="27" spans="1:38" ht="16.5" thickBot="1">
      <c r="A27" s="82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2"/>
      <c r="M27" s="2"/>
      <c r="N27" s="2"/>
      <c r="O27" s="2"/>
      <c r="P27" s="2"/>
      <c r="Q27" s="2"/>
      <c r="R27" s="2"/>
      <c r="AL27" s="68">
        <f t="shared" si="6"/>
        <v>4.285467967273946</v>
      </c>
    </row>
    <row r="28" spans="1:38" ht="26.25" thickBot="1">
      <c r="A28" s="131" t="s">
        <v>76</v>
      </c>
      <c r="B28" s="132"/>
      <c r="C28" s="132"/>
      <c r="D28" s="133"/>
      <c r="E28" s="133"/>
      <c r="F28" s="134"/>
      <c r="G28" s="133"/>
      <c r="H28" s="134"/>
      <c r="L28" s="84"/>
      <c r="M28" s="84"/>
      <c r="N28" s="84"/>
      <c r="O28" s="84"/>
      <c r="AL28" s="68">
        <f t="shared" si="6"/>
        <v>10.247113106485742</v>
      </c>
    </row>
    <row r="29" spans="12:38" ht="13.5" thickBot="1">
      <c r="L29" s="81"/>
      <c r="M29" s="81"/>
      <c r="N29" s="81"/>
      <c r="O29" s="81"/>
      <c r="AL29" s="68">
        <f t="shared" si="6"/>
        <v>9.4826459382241</v>
      </c>
    </row>
    <row r="30" spans="1:38" ht="230.25" thickBot="1">
      <c r="A30" s="111" t="s">
        <v>74</v>
      </c>
      <c r="B30" s="111" t="s">
        <v>75</v>
      </c>
      <c r="C30" s="111" t="s">
        <v>77</v>
      </c>
      <c r="D30" s="111" t="s">
        <v>75</v>
      </c>
      <c r="E30" s="120" t="s">
        <v>92</v>
      </c>
      <c r="F30" s="114" t="s">
        <v>100</v>
      </c>
      <c r="G30" s="113"/>
      <c r="H30" s="117" t="s">
        <v>132</v>
      </c>
      <c r="I30" s="117" t="s">
        <v>122</v>
      </c>
      <c r="J30" s="117" t="s">
        <v>125</v>
      </c>
      <c r="K30" s="111" t="s">
        <v>123</v>
      </c>
      <c r="L30" s="111" t="s">
        <v>124</v>
      </c>
      <c r="M30" s="81"/>
      <c r="N30" s="81"/>
      <c r="O30" s="81"/>
      <c r="AL30" s="68">
        <f t="shared" si="6"/>
        <v>6.977796067749816</v>
      </c>
    </row>
    <row r="31" spans="1:38" ht="13.5" thickBot="1">
      <c r="A31" s="125" t="s">
        <v>40</v>
      </c>
      <c r="B31" s="126" t="s">
        <v>84</v>
      </c>
      <c r="C31" s="126" t="s">
        <v>82</v>
      </c>
      <c r="D31" s="128" t="s">
        <v>97</v>
      </c>
      <c r="E31" s="114" t="s">
        <v>112</v>
      </c>
      <c r="F31" s="115" t="s">
        <v>101</v>
      </c>
      <c r="G31" s="129"/>
      <c r="H31" s="112" t="s">
        <v>129</v>
      </c>
      <c r="I31" s="130">
        <f aca="true" t="shared" si="7" ref="I31:I40">+(L31*M10)*100/K31</f>
        <v>1452.9584607910892</v>
      </c>
      <c r="J31" s="127">
        <f aca="true" t="shared" si="8" ref="J31:J40">+(L31*N10)*100/K31</f>
        <v>778.3706039952266</v>
      </c>
      <c r="K31" s="119">
        <v>50</v>
      </c>
      <c r="L31" s="119">
        <v>100</v>
      </c>
      <c r="M31" s="2"/>
      <c r="N31" s="2"/>
      <c r="O31" s="2"/>
      <c r="AL31" s="68">
        <f t="shared" si="6"/>
        <v>3.3714586354931657</v>
      </c>
    </row>
    <row r="32" spans="1:38" ht="13.5" thickBot="1">
      <c r="A32" s="112" t="s">
        <v>40</v>
      </c>
      <c r="B32" s="111" t="s">
        <v>89</v>
      </c>
      <c r="C32" s="114" t="s">
        <v>82</v>
      </c>
      <c r="D32" s="128" t="s">
        <v>98</v>
      </c>
      <c r="E32" s="114" t="s">
        <v>113</v>
      </c>
      <c r="F32" s="116" t="s">
        <v>102</v>
      </c>
      <c r="G32" s="129"/>
      <c r="H32" s="112" t="s">
        <v>130</v>
      </c>
      <c r="I32" s="130">
        <f t="shared" si="7"/>
        <v>3318.745902628896</v>
      </c>
      <c r="J32" s="118">
        <f t="shared" si="8"/>
        <v>1524.243749322654</v>
      </c>
      <c r="K32" s="119">
        <v>20</v>
      </c>
      <c r="L32" s="119">
        <v>100</v>
      </c>
      <c r="AL32" s="68">
        <f t="shared" si="6"/>
        <v>3.616400042795747</v>
      </c>
    </row>
    <row r="33" spans="1:38" ht="13.5" thickBot="1">
      <c r="A33" s="112" t="s">
        <v>40</v>
      </c>
      <c r="B33" s="111" t="s">
        <v>87</v>
      </c>
      <c r="C33" s="114" t="s">
        <v>83</v>
      </c>
      <c r="D33" s="128" t="s">
        <v>94</v>
      </c>
      <c r="E33" s="114" t="s">
        <v>114</v>
      </c>
      <c r="F33" s="115" t="s">
        <v>103</v>
      </c>
      <c r="G33" s="129"/>
      <c r="H33" s="112" t="s">
        <v>131</v>
      </c>
      <c r="I33" s="130">
        <f t="shared" si="7"/>
        <v>8299.321767607995</v>
      </c>
      <c r="J33" s="118">
        <f t="shared" si="8"/>
        <v>4979.593060564796</v>
      </c>
      <c r="K33" s="119">
        <v>8</v>
      </c>
      <c r="L33" s="119">
        <v>200</v>
      </c>
      <c r="AL33" s="68">
        <f t="shared" si="6"/>
        <v>3.6310756401747857</v>
      </c>
    </row>
    <row r="34" spans="1:38" ht="13.5" thickBot="1">
      <c r="A34" s="125" t="s">
        <v>78</v>
      </c>
      <c r="B34" s="126" t="s">
        <v>84</v>
      </c>
      <c r="C34" s="126" t="s">
        <v>90</v>
      </c>
      <c r="D34" s="128" t="s">
        <v>99</v>
      </c>
      <c r="E34" s="114" t="s">
        <v>115</v>
      </c>
      <c r="F34" s="129" t="s">
        <v>101</v>
      </c>
      <c r="G34" s="129"/>
      <c r="H34" s="112" t="s">
        <v>133</v>
      </c>
      <c r="I34" s="130">
        <f t="shared" si="7"/>
        <v>896.248173009787</v>
      </c>
      <c r="J34" s="127">
        <f t="shared" si="8"/>
        <v>606.4804289462808</v>
      </c>
      <c r="K34" s="119">
        <v>80</v>
      </c>
      <c r="L34" s="119">
        <v>50</v>
      </c>
      <c r="AL34" s="68">
        <f t="shared" si="6"/>
        <v>7.956565220985652</v>
      </c>
    </row>
    <row r="35" spans="1:38" ht="13.5" thickBot="1">
      <c r="A35" s="112" t="s">
        <v>78</v>
      </c>
      <c r="B35" s="111" t="s">
        <v>88</v>
      </c>
      <c r="C35" s="111" t="s">
        <v>90</v>
      </c>
      <c r="D35" s="121" t="s">
        <v>106</v>
      </c>
      <c r="E35" s="111" t="s">
        <v>112</v>
      </c>
      <c r="F35" s="115" t="s">
        <v>102</v>
      </c>
      <c r="G35" s="113"/>
      <c r="H35" s="112" t="s">
        <v>129</v>
      </c>
      <c r="I35" s="118">
        <f t="shared" si="7"/>
        <v>1218.3492581271532</v>
      </c>
      <c r="J35" s="118">
        <f t="shared" si="8"/>
        <v>824.4423842940096</v>
      </c>
      <c r="K35" s="119">
        <v>50</v>
      </c>
      <c r="L35" s="119">
        <v>50</v>
      </c>
      <c r="AL35" s="110">
        <f t="shared" si="6"/>
        <v>3.616400042795747</v>
      </c>
    </row>
    <row r="36" spans="1:38" ht="12.75">
      <c r="A36" s="112" t="s">
        <v>78</v>
      </c>
      <c r="B36" s="111" t="s">
        <v>89</v>
      </c>
      <c r="C36" s="111" t="s">
        <v>82</v>
      </c>
      <c r="D36" s="121" t="s">
        <v>107</v>
      </c>
      <c r="E36" s="111" t="s">
        <v>116</v>
      </c>
      <c r="F36" s="115" t="s">
        <v>102</v>
      </c>
      <c r="G36" s="113"/>
      <c r="H36" s="112" t="s">
        <v>130</v>
      </c>
      <c r="I36" s="118">
        <f t="shared" si="7"/>
        <v>2574.084442154224</v>
      </c>
      <c r="J36" s="118">
        <f t="shared" si="8"/>
        <v>1896.6937994820603</v>
      </c>
      <c r="K36" s="119">
        <v>30</v>
      </c>
      <c r="L36" s="119">
        <v>100</v>
      </c>
      <c r="AL36" s="109"/>
    </row>
    <row r="37" spans="1:38" ht="12.75">
      <c r="A37" s="112" t="s">
        <v>78</v>
      </c>
      <c r="B37" s="111" t="s">
        <v>87</v>
      </c>
      <c r="C37" s="111" t="s">
        <v>83</v>
      </c>
      <c r="D37" s="121" t="s">
        <v>95</v>
      </c>
      <c r="E37" s="111" t="s">
        <v>116</v>
      </c>
      <c r="F37" s="115" t="s">
        <v>103</v>
      </c>
      <c r="G37" s="113"/>
      <c r="H37" s="112" t="s">
        <v>134</v>
      </c>
      <c r="I37" s="118">
        <f t="shared" si="7"/>
        <v>3621.5222258653052</v>
      </c>
      <c r="J37" s="118">
        <f t="shared" si="8"/>
        <v>1784.188098696744</v>
      </c>
      <c r="K37" s="119">
        <v>30</v>
      </c>
      <c r="L37" s="119">
        <v>200</v>
      </c>
      <c r="AL37" s="109"/>
    </row>
    <row r="38" spans="1:38" ht="12.75">
      <c r="A38" s="116" t="s">
        <v>79</v>
      </c>
      <c r="B38" s="114" t="s">
        <v>35</v>
      </c>
      <c r="C38" s="114" t="s">
        <v>91</v>
      </c>
      <c r="D38" s="128" t="s">
        <v>108</v>
      </c>
      <c r="E38" s="114" t="s">
        <v>117</v>
      </c>
      <c r="F38" s="115" t="s">
        <v>105</v>
      </c>
      <c r="G38" s="129"/>
      <c r="H38" s="112" t="s">
        <v>137</v>
      </c>
      <c r="I38" s="130">
        <f t="shared" si="7"/>
        <v>894.1254118976825</v>
      </c>
      <c r="J38" s="130">
        <f t="shared" si="8"/>
        <v>648.0701779121338</v>
      </c>
      <c r="K38" s="119">
        <v>33</v>
      </c>
      <c r="L38" s="119">
        <v>25</v>
      </c>
      <c r="AL38" s="109"/>
    </row>
    <row r="39" spans="1:38" ht="12.75">
      <c r="A39" s="125" t="s">
        <v>79</v>
      </c>
      <c r="B39" s="126" t="s">
        <v>84</v>
      </c>
      <c r="C39" s="126" t="s">
        <v>90</v>
      </c>
      <c r="D39" s="121" t="s">
        <v>97</v>
      </c>
      <c r="E39" s="111" t="s">
        <v>118</v>
      </c>
      <c r="F39" s="115" t="s">
        <v>104</v>
      </c>
      <c r="G39" s="113"/>
      <c r="H39" s="112" t="s">
        <v>135</v>
      </c>
      <c r="I39" s="118">
        <f t="shared" si="7"/>
        <v>1073.5070873461254</v>
      </c>
      <c r="J39" s="127">
        <f t="shared" si="8"/>
        <v>581.7873600000003</v>
      </c>
      <c r="K39" s="119">
        <v>55</v>
      </c>
      <c r="L39" s="119">
        <v>50</v>
      </c>
      <c r="AL39" s="109"/>
    </row>
    <row r="40" spans="1:38" ht="12.75">
      <c r="A40" s="112" t="s">
        <v>79</v>
      </c>
      <c r="B40" s="111" t="s">
        <v>85</v>
      </c>
      <c r="C40" s="111" t="s">
        <v>82</v>
      </c>
      <c r="D40" s="121" t="s">
        <v>109</v>
      </c>
      <c r="E40" s="111" t="s">
        <v>112</v>
      </c>
      <c r="F40" s="115" t="s">
        <v>102</v>
      </c>
      <c r="G40" s="113"/>
      <c r="H40" s="112" t="s">
        <v>136</v>
      </c>
      <c r="I40" s="118">
        <f t="shared" si="7"/>
        <v>1753.3949093320043</v>
      </c>
      <c r="J40" s="118">
        <f t="shared" si="8"/>
        <v>787.2385307204917</v>
      </c>
      <c r="K40" s="119">
        <v>50</v>
      </c>
      <c r="L40" s="119">
        <v>100</v>
      </c>
      <c r="AL40" s="109"/>
    </row>
    <row r="41" spans="1:12" ht="12.75">
      <c r="A41" s="112" t="s">
        <v>79</v>
      </c>
      <c r="B41" s="111" t="s">
        <v>85</v>
      </c>
      <c r="C41" s="111" t="s">
        <v>90</v>
      </c>
      <c r="D41" s="121" t="s">
        <v>109</v>
      </c>
      <c r="E41" s="111" t="s">
        <v>116</v>
      </c>
      <c r="F41" s="115" t="s">
        <v>102</v>
      </c>
      <c r="G41" s="113"/>
      <c r="H41" s="112" t="s">
        <v>136</v>
      </c>
      <c r="I41" s="118">
        <f>+(L41*M19)*100/K41</f>
        <v>1461.162424443337</v>
      </c>
      <c r="J41" s="118">
        <f>+(L41*N19)*100/K41</f>
        <v>656.0321089337431</v>
      </c>
      <c r="K41" s="119">
        <v>30</v>
      </c>
      <c r="L41" s="119">
        <v>50</v>
      </c>
    </row>
    <row r="42" spans="1:12" ht="12.75">
      <c r="A42" s="112" t="s">
        <v>79</v>
      </c>
      <c r="B42" s="111" t="s">
        <v>86</v>
      </c>
      <c r="C42" s="111" t="s">
        <v>83</v>
      </c>
      <c r="D42" s="121" t="s">
        <v>110</v>
      </c>
      <c r="E42" s="111" t="s">
        <v>116</v>
      </c>
      <c r="F42" s="115" t="s">
        <v>102</v>
      </c>
      <c r="G42" s="113"/>
      <c r="H42" s="145" t="s">
        <v>138</v>
      </c>
      <c r="I42" s="118">
        <f>+(L42*M20)*100/K42</f>
        <v>3100.1918487293465</v>
      </c>
      <c r="J42" s="118">
        <f>+(L42*N20)*100/K42</f>
        <v>1483.0960320000008</v>
      </c>
      <c r="K42" s="119">
        <v>30</v>
      </c>
      <c r="L42" s="119">
        <v>200</v>
      </c>
    </row>
    <row r="43" spans="1:12" ht="12.75">
      <c r="A43" s="112" t="s">
        <v>79</v>
      </c>
      <c r="B43" s="111" t="s">
        <v>86</v>
      </c>
      <c r="C43" s="111" t="s">
        <v>82</v>
      </c>
      <c r="D43" s="121" t="s">
        <v>110</v>
      </c>
      <c r="E43" s="111" t="s">
        <v>119</v>
      </c>
      <c r="F43" s="115" t="s">
        <v>102</v>
      </c>
      <c r="G43" s="113"/>
      <c r="H43" s="145" t="s">
        <v>138</v>
      </c>
      <c r="I43" s="118">
        <f>+(L43*M20)*100/K43</f>
        <v>2735.463395937659</v>
      </c>
      <c r="J43" s="118">
        <f>+(L43*N20)*100/K43</f>
        <v>1308.6141458823536</v>
      </c>
      <c r="K43" s="119">
        <v>17</v>
      </c>
      <c r="L43" s="119">
        <v>100</v>
      </c>
    </row>
    <row r="44" spans="1:12" ht="12.75">
      <c r="A44" s="112" t="s">
        <v>79</v>
      </c>
      <c r="B44" s="111" t="s">
        <v>87</v>
      </c>
      <c r="C44" s="111" t="s">
        <v>82</v>
      </c>
      <c r="D44" s="122" t="s">
        <v>94</v>
      </c>
      <c r="E44" s="111" t="s">
        <v>120</v>
      </c>
      <c r="F44" s="115" t="s">
        <v>103</v>
      </c>
      <c r="G44" s="113"/>
      <c r="H44" s="112" t="s">
        <v>131</v>
      </c>
      <c r="I44" s="118">
        <f>+(L44*M21)*100/K44</f>
        <v>5111.938511172023</v>
      </c>
      <c r="J44" s="118">
        <f>+(L44*N21)*100/K44</f>
        <v>2495.0701849617153</v>
      </c>
      <c r="K44" s="119">
        <v>10</v>
      </c>
      <c r="L44" s="119">
        <v>100</v>
      </c>
    </row>
    <row r="45" spans="1:12" ht="12.75">
      <c r="A45" s="125" t="s">
        <v>80</v>
      </c>
      <c r="B45" s="126" t="s">
        <v>81</v>
      </c>
      <c r="C45" s="126" t="s">
        <v>82</v>
      </c>
      <c r="D45" s="128" t="s">
        <v>111</v>
      </c>
      <c r="E45" s="114" t="s">
        <v>121</v>
      </c>
      <c r="F45" s="115" t="s">
        <v>139</v>
      </c>
      <c r="G45" s="129"/>
      <c r="H45" s="112" t="s">
        <v>129</v>
      </c>
      <c r="I45" s="130">
        <f>+(L45*M22)*100/K45</f>
        <v>1427.5317351470433</v>
      </c>
      <c r="J45" s="127">
        <f>+(L45*N22)*100/K45</f>
        <v>897.3056620924275</v>
      </c>
      <c r="K45" s="119">
        <v>60</v>
      </c>
      <c r="L45" s="119">
        <v>100</v>
      </c>
    </row>
    <row r="46" spans="1:12" ht="12.75">
      <c r="A46" s="125" t="s">
        <v>70</v>
      </c>
      <c r="B46" s="126" t="s">
        <v>81</v>
      </c>
      <c r="C46" s="126" t="s">
        <v>83</v>
      </c>
      <c r="D46" s="128" t="s">
        <v>96</v>
      </c>
      <c r="E46" s="114" t="s">
        <v>116</v>
      </c>
      <c r="F46" s="115" t="s">
        <v>139</v>
      </c>
      <c r="G46" s="129"/>
      <c r="H46" s="112" t="s">
        <v>129</v>
      </c>
      <c r="I46" s="130">
        <f>+(L46*M23)*100/K46</f>
        <v>2587.3431200489886</v>
      </c>
      <c r="J46" s="127">
        <f>+(L46*N23)*100/K46</f>
        <v>1384.4877933263103</v>
      </c>
      <c r="K46" s="119">
        <v>30</v>
      </c>
      <c r="L46" s="119">
        <v>200</v>
      </c>
    </row>
    <row r="47" spans="5:12" ht="24.75" customHeight="1">
      <c r="E47" s="215" t="s">
        <v>93</v>
      </c>
      <c r="F47" s="216"/>
      <c r="G47" s="216"/>
      <c r="H47" s="216"/>
      <c r="I47" s="216"/>
      <c r="J47" s="216"/>
      <c r="K47" s="216"/>
      <c r="L47" s="216"/>
    </row>
    <row r="48" spans="5:12" ht="12.75">
      <c r="E48" s="216"/>
      <c r="F48" s="216"/>
      <c r="G48" s="216"/>
      <c r="H48" s="216"/>
      <c r="I48" s="216"/>
      <c r="J48" s="216"/>
      <c r="K48" s="216"/>
      <c r="L48" s="216"/>
    </row>
  </sheetData>
  <sheetProtection password="CE17" sheet="1"/>
  <mergeCells count="20">
    <mergeCell ref="A7:Q7"/>
    <mergeCell ref="G8:P8"/>
    <mergeCell ref="A25:K26"/>
    <mergeCell ref="AK2:AL2"/>
    <mergeCell ref="AN2:AO2"/>
    <mergeCell ref="E47:L48"/>
    <mergeCell ref="AB2:AE2"/>
    <mergeCell ref="B13:I13"/>
    <mergeCell ref="K9:L9"/>
    <mergeCell ref="B9:I9"/>
    <mergeCell ref="K6:L6"/>
    <mergeCell ref="E2:H2"/>
    <mergeCell ref="I2:O2"/>
    <mergeCell ref="A8:E8"/>
    <mergeCell ref="A16:I17"/>
    <mergeCell ref="B2:D2"/>
    <mergeCell ref="B10:I10"/>
    <mergeCell ref="B11:I11"/>
    <mergeCell ref="B12:I12"/>
    <mergeCell ref="B14:I14"/>
  </mergeCells>
  <hyperlinks>
    <hyperlink ref="B3" r:id="rId1" display="50Run"/>
    <hyperlink ref="F3" r:id="rId2" display="50bl"/>
    <hyperlink ref="P3:Q3" r:id="rId3" display="100Z"/>
    <hyperlink ref="E3" r:id="rId4" display="50bl"/>
    <hyperlink ref="J3:O3" r:id="rId5" display="100g"/>
  </hyperlinks>
  <printOptions/>
  <pageMargins left="0" right="0" top="0" bottom="0" header="0" footer="0"/>
  <pageSetup fitToHeight="0" fitToWidth="1" horizontalDpi="200" verticalDpi="200" orientation="landscape" paperSize="9" scale="26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Flia. Caporaletti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User</cp:lastModifiedBy>
  <cp:lastPrinted>2015-04-10T00:09:27Z</cp:lastPrinted>
  <dcterms:created xsi:type="dcterms:W3CDTF">2008-01-02T06:22:35Z</dcterms:created>
  <dcterms:modified xsi:type="dcterms:W3CDTF">2021-09-29T19:56:16Z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